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9"/>
  <workbookPr showInkAnnotation="0"/>
  <mc:AlternateContent xmlns:mc="http://schemas.openxmlformats.org/markup-compatibility/2006">
    <mc:Choice Requires="x15">
      <x15ac:absPath xmlns:x15ac="http://schemas.microsoft.com/office/spreadsheetml/2010/11/ac" url="https://legemiddelverket.sharepoint.com/sites/KOMP-KompetansenettverkMetodevurdering/Delte dokumenter/Økonomi/Enhetskostnader/"/>
    </mc:Choice>
  </mc:AlternateContent>
  <xr:revisionPtr revIDLastSave="507" documentId="8_{8B7A0E41-1E4E-4BD0-A002-79DB819E6BE2}" xr6:coauthVersionLast="47" xr6:coauthVersionMax="47" xr10:uidLastSave="{CFA86C5F-F46F-496F-B10D-B75C8986C31D}"/>
  <bookViews>
    <workbookView xWindow="28680" yWindow="-120" windowWidth="51840" windowHeight="21120" tabRatio="848" firstSheet="5" activeTab="6" xr2:uid="{00000000-000D-0000-FFFF-FFFF00000000}"/>
  </bookViews>
  <sheets>
    <sheet name="0.1 Innhold og struktur" sheetId="1" r:id="rId1"/>
    <sheet name="0.2 Endringslogg" sheetId="2" r:id="rId2"/>
    <sheet name="0.3 Kilder" sheetId="3" r:id="rId3"/>
    <sheet name="1.1 Enhetskostnader" sheetId="4" r:id="rId4"/>
    <sheet name="1.2 Forutsetninger" sheetId="5" r:id="rId5"/>
    <sheet name="Enhetskostnader-Forutsetninger" sheetId="7" r:id="rId6"/>
    <sheet name="Prognoser og indekser" sheetId="6" r:id="rId7"/>
  </sheets>
  <definedNames>
    <definedName name="Arbeidsgiveravgift">'1.2 Forutsetninger'!$C$20</definedName>
    <definedName name="BNPIndeks">'Prognoser og indekser'!$C$17:$W$17</definedName>
    <definedName name="DFØ_2018">'0.3 Kilder'!$B$9</definedName>
    <definedName name="DMP_2023">'0.3 Kilder'!$B$21</definedName>
    <definedName name="DMP_2024">'0.3 Kilder'!$B$22</definedName>
    <definedName name="Fremtidig_KPI">'1.2 Forutsetninger'!$C$17</definedName>
    <definedName name="Fremtidig_Reallønnsvekst">'1.2 Forutsetninger'!$C$18</definedName>
    <definedName name="Helsedirektoratet_2020_1">'0.3 Kilder'!$B$11</definedName>
    <definedName name="Helsedirektoratet_2022">'0.3 Kilder'!$B$10</definedName>
    <definedName name="Infusjon_Overheadkostnader">'1.2 Forutsetninger'!$C$24</definedName>
    <definedName name="Konsultasjon_antall">'1.2 Forutsetninger'!$C$27</definedName>
    <definedName name="KPIIndeks">'Prognoser og indekser'!$C$16:$W$16</definedName>
    <definedName name="Legeforeningen_2019">'0.3 Kilder'!$B$12</definedName>
    <definedName name="Legeforeningen_2019_1">'0.3 Kilder'!$B$13</definedName>
    <definedName name="Lindemark_2017">'0.3 Kilder'!$B$14</definedName>
    <definedName name="Lindemark_2017_1">'0.3 Kilder'!$B$15</definedName>
    <definedName name="Norgesbank_2020">'0.3 Kilder'!$B$16</definedName>
    <definedName name="NOU__2012">'0.3 Kilder'!$B$17</definedName>
    <definedName name="Regjeringen_2014">'0.3 Kilder'!$B$18</definedName>
    <definedName name="Regjeringen_2021">'0.3 Kilder'!$B$19</definedName>
    <definedName name="SisteStatistikkÅr">'Prognoser og indekser'!$B$10</definedName>
    <definedName name="Skatteetaten_2020">'0.3 Kilder'!$B$20</definedName>
    <definedName name="Skattesats_lønn">'1.2 Forutsetninger'!$C$22</definedName>
    <definedName name="Sosialekostnader">'1.2 Forutsetninger'!$C$21</definedName>
    <definedName name="SSB_2023">'0.3 Kilder'!$B$26</definedName>
    <definedName name="SSB_2024">'0.3 Kilder'!$B$25</definedName>
    <definedName name="StatistikkBNP">'Prognoser og indekser'!$C$20:$W$20</definedName>
    <definedName name="StatistikkKPI">'Prognoser og indekser'!$C$19:$W$19</definedName>
    <definedName name="StatistikkÅr">'Prognoser og indekser'!$C$14:$W$14</definedName>
    <definedName name="Tidsbruk_sykepleier_infusjon">'1.2 Forutsetninger'!$C$25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 i="6" l="1"/>
  <c r="I45" i="4"/>
  <c r="W16" i="6"/>
  <c r="E45" i="4"/>
  <c r="C45" i="4"/>
  <c r="F39" i="7"/>
  <c r="I46" i="4"/>
  <c r="V16" i="6"/>
  <c r="U17" i="6"/>
  <c r="T17" i="6"/>
  <c r="V17" i="6"/>
  <c r="U16" i="6"/>
  <c r="E46" i="4"/>
  <c r="C46" i="4"/>
  <c r="T16" i="6"/>
  <c r="I47" i="4"/>
  <c r="I48" i="4"/>
  <c r="I49" i="4"/>
  <c r="I50" i="4"/>
  <c r="I51" i="4"/>
  <c r="I52" i="4"/>
  <c r="G29" i="5"/>
  <c r="G18" i="5"/>
  <c r="I53" i="4"/>
  <c r="C39" i="7"/>
  <c r="C13" i="7"/>
  <c r="S17" i="6"/>
  <c r="G32" i="7"/>
  <c r="C32" i="7"/>
  <c r="D35" i="4"/>
  <c r="H31" i="7"/>
  <c r="C31" i="7"/>
  <c r="D34" i="4"/>
  <c r="G39" i="4"/>
  <c r="F39" i="4"/>
  <c r="C36" i="7"/>
  <c r="D39" i="4"/>
  <c r="B36" i="7"/>
  <c r="B35" i="7"/>
  <c r="G39" i="7"/>
  <c r="F55" i="4"/>
  <c r="G55" i="4"/>
  <c r="B39" i="7"/>
  <c r="B38" i="7"/>
  <c r="B37" i="7"/>
  <c r="D55" i="4"/>
  <c r="E16" i="7"/>
  <c r="G19" i="4"/>
  <c r="D16" i="7"/>
  <c r="F19" i="4"/>
  <c r="R17" i="6"/>
  <c r="D17" i="6"/>
  <c r="E17" i="6"/>
  <c r="F17" i="6"/>
  <c r="G17" i="6"/>
  <c r="H17" i="6"/>
  <c r="I17" i="6"/>
  <c r="J17" i="6"/>
  <c r="K17" i="6"/>
  <c r="L17" i="6"/>
  <c r="M17" i="6"/>
  <c r="N17" i="6"/>
  <c r="O17" i="6"/>
  <c r="P17" i="6"/>
  <c r="Q17" i="6"/>
  <c r="E19" i="4"/>
  <c r="C17" i="6"/>
  <c r="E19" i="3"/>
  <c r="B28" i="5"/>
  <c r="D10" i="4"/>
  <c r="D16" i="6"/>
  <c r="E16" i="6"/>
  <c r="F16" i="6"/>
  <c r="G16" i="6"/>
  <c r="H16" i="6"/>
  <c r="I16" i="6"/>
  <c r="J16" i="6"/>
  <c r="K16" i="6"/>
  <c r="L16" i="6"/>
  <c r="M16" i="6"/>
  <c r="N16" i="6"/>
  <c r="O16" i="6"/>
  <c r="P16" i="6"/>
  <c r="Q16" i="6"/>
  <c r="R16" i="6"/>
  <c r="S16" i="6"/>
  <c r="E49" i="4"/>
  <c r="C49" i="4"/>
  <c r="C16" i="6"/>
  <c r="B19" i="5"/>
  <c r="B23" i="5"/>
  <c r="E48" i="4"/>
  <c r="C48" i="4"/>
  <c r="E47" i="4"/>
  <c r="C47" i="4"/>
  <c r="E55" i="4"/>
  <c r="C55" i="4"/>
  <c r="E42" i="4"/>
  <c r="C42" i="4"/>
  <c r="E41" i="4"/>
  <c r="C41" i="4"/>
  <c r="E50" i="4"/>
  <c r="C50" i="4"/>
  <c r="E52" i="4"/>
  <c r="C52" i="4"/>
  <c r="E53" i="4"/>
  <c r="C53" i="4"/>
  <c r="E51" i="4"/>
  <c r="C51" i="4"/>
  <c r="E39" i="4"/>
  <c r="C39" i="4"/>
  <c r="G37" i="4"/>
  <c r="E37" i="4"/>
  <c r="F37" i="4"/>
  <c r="G34" i="7"/>
  <c r="C34" i="7"/>
  <c r="D37" i="4"/>
  <c r="B34" i="7"/>
  <c r="B33" i="7"/>
  <c r="C37" i="4"/>
  <c r="G30" i="7"/>
  <c r="C30" i="7"/>
  <c r="G33" i="4"/>
  <c r="E33" i="4"/>
  <c r="G34" i="4"/>
  <c r="E34" i="4"/>
  <c r="C34" i="4"/>
  <c r="G35" i="4"/>
  <c r="E35" i="4"/>
  <c r="C35" i="4"/>
  <c r="F33" i="4"/>
  <c r="F34" i="4"/>
  <c r="F35" i="4"/>
  <c r="G32" i="4"/>
  <c r="E32" i="4"/>
  <c r="F32" i="4"/>
  <c r="G29" i="7"/>
  <c r="C29" i="7"/>
  <c r="D32" i="4"/>
  <c r="B26" i="5"/>
  <c r="B30" i="7"/>
  <c r="B31" i="7"/>
  <c r="B32" i="7"/>
  <c r="B29" i="7"/>
  <c r="B28" i="7"/>
  <c r="H27" i="7"/>
  <c r="I27" i="7"/>
  <c r="D33" i="4"/>
  <c r="C33" i="4"/>
  <c r="C27" i="7"/>
  <c r="D30" i="4"/>
  <c r="C32" i="4"/>
  <c r="F22" i="4"/>
  <c r="F23" i="4"/>
  <c r="F24" i="4"/>
  <c r="F25" i="4"/>
  <c r="F26" i="4"/>
  <c r="F27" i="4"/>
  <c r="F21" i="4"/>
  <c r="G26" i="4"/>
  <c r="E26" i="4"/>
  <c r="G25" i="4"/>
  <c r="E25" i="4"/>
  <c r="I24" i="7"/>
  <c r="C24" i="7"/>
  <c r="C16" i="7"/>
  <c r="D19" i="4"/>
  <c r="G22" i="7"/>
  <c r="B22" i="7"/>
  <c r="G23" i="4"/>
  <c r="E23" i="4"/>
  <c r="G24" i="4"/>
  <c r="E24" i="4"/>
  <c r="G27" i="4"/>
  <c r="E27" i="4"/>
  <c r="G22" i="4"/>
  <c r="E22" i="4"/>
  <c r="G21" i="4"/>
  <c r="E21" i="4"/>
  <c r="J23" i="7"/>
  <c r="J21" i="7"/>
  <c r="I21" i="7"/>
  <c r="K20" i="7"/>
  <c r="J20" i="7"/>
  <c r="I18" i="7"/>
  <c r="H18" i="7"/>
  <c r="H19" i="7"/>
  <c r="G19" i="7"/>
  <c r="B16" i="7"/>
  <c r="B17" i="7"/>
  <c r="B18" i="7"/>
  <c r="B19" i="7"/>
  <c r="B20" i="7"/>
  <c r="B21" i="7"/>
  <c r="B23" i="7"/>
  <c r="B24" i="7"/>
  <c r="B15" i="7"/>
  <c r="C18" i="7"/>
  <c r="D21" i="4"/>
  <c r="C19" i="7"/>
  <c r="D22" i="4"/>
  <c r="C20" i="7"/>
  <c r="D23" i="4"/>
  <c r="C21" i="7"/>
  <c r="D24" i="4"/>
  <c r="C22" i="7"/>
  <c r="D25" i="4"/>
  <c r="C25" i="4"/>
  <c r="C23" i="7"/>
  <c r="D26" i="4"/>
  <c r="D27" i="4"/>
  <c r="J14" i="7"/>
  <c r="J13" i="7"/>
  <c r="J11" i="7"/>
  <c r="J10" i="7"/>
  <c r="I14" i="7"/>
  <c r="I13" i="7"/>
  <c r="I11" i="7"/>
  <c r="I10" i="7"/>
  <c r="G17" i="4"/>
  <c r="E17" i="4"/>
  <c r="G16" i="4"/>
  <c r="E16" i="4"/>
  <c r="G14" i="4"/>
  <c r="E14" i="4"/>
  <c r="G13" i="4"/>
  <c r="E13" i="4"/>
  <c r="F17" i="4"/>
  <c r="F16" i="4"/>
  <c r="F14" i="4"/>
  <c r="F13" i="4"/>
  <c r="C14" i="7"/>
  <c r="D17" i="4"/>
  <c r="B13" i="7"/>
  <c r="D16" i="4"/>
  <c r="C11" i="7"/>
  <c r="D14" i="4"/>
  <c r="C10" i="7"/>
  <c r="D13" i="4"/>
  <c r="B14" i="7"/>
  <c r="B12" i="7"/>
  <c r="B9" i="7"/>
  <c r="B11" i="7"/>
  <c r="B10" i="7"/>
  <c r="G30" i="4"/>
  <c r="E30" i="4"/>
  <c r="C30" i="4"/>
  <c r="F30" i="4"/>
  <c r="B27" i="7"/>
  <c r="G29" i="4"/>
  <c r="J26" i="7"/>
  <c r="C26" i="7"/>
  <c r="D29" i="4"/>
  <c r="F29" i="4"/>
  <c r="B26" i="7"/>
  <c r="B25" i="7"/>
  <c r="B17" i="6"/>
  <c r="C21" i="4"/>
  <c r="E29" i="4"/>
  <c r="C29" i="4"/>
  <c r="C27" i="4"/>
  <c r="C26" i="4"/>
  <c r="C24" i="4"/>
  <c r="C23" i="4"/>
  <c r="C22" i="4"/>
  <c r="C19" i="4"/>
  <c r="C14" i="4"/>
  <c r="C13" i="4"/>
  <c r="B8" i="7"/>
  <c r="C10" i="4"/>
  <c r="C17" i="4"/>
  <c r="C16" i="4"/>
  <c r="B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Malene Nerland</author>
  </authors>
  <commentList>
    <comment ref="F10" authorId="0" shapeId="0" xr:uid="{00000000-0006-0000-0500-000001000000}">
      <text>
        <r>
          <rPr>
            <b/>
            <sz val="9"/>
            <color indexed="81"/>
            <rFont val="Tahoma"/>
            <family val="2"/>
          </rPr>
          <t>Malene Nerland:</t>
        </r>
        <r>
          <rPr>
            <sz val="9"/>
            <color indexed="81"/>
            <rFont val="Tahoma"/>
            <family val="2"/>
          </rPr>
          <t xml:space="preserve">
Månedslønn
</t>
        </r>
      </text>
    </comment>
    <comment ref="G10" authorId="0" shapeId="0" xr:uid="{00000000-0006-0000-0500-000002000000}">
      <text>
        <r>
          <rPr>
            <b/>
            <sz val="9"/>
            <color indexed="81"/>
            <rFont val="Tahoma"/>
            <family val="2"/>
          </rPr>
          <t>Malene Nerland:</t>
        </r>
        <r>
          <rPr>
            <sz val="9"/>
            <color indexed="81"/>
            <rFont val="Tahoma"/>
            <family val="2"/>
          </rPr>
          <t xml:space="preserve">
Timer per år i turnus</t>
        </r>
      </text>
    </comment>
    <comment ref="H10" authorId="0" shapeId="0" xr:uid="{00000000-0006-0000-0500-000003000000}">
      <text>
        <r>
          <rPr>
            <b/>
            <sz val="9"/>
            <color indexed="81"/>
            <rFont val="Tahoma"/>
            <family val="2"/>
          </rPr>
          <t>Malene Nerland:</t>
        </r>
        <r>
          <rPr>
            <sz val="9"/>
            <color indexed="81"/>
            <rFont val="Tahoma"/>
            <family val="2"/>
          </rPr>
          <t xml:space="preserve">
Måneder per år</t>
        </r>
      </text>
    </comment>
    <comment ref="F11" authorId="0" shapeId="0" xr:uid="{00000000-0006-0000-0500-000004000000}">
      <text>
        <r>
          <rPr>
            <b/>
            <sz val="9"/>
            <color indexed="81"/>
            <rFont val="Tahoma"/>
            <family val="2"/>
          </rPr>
          <t>Malene Nerland:</t>
        </r>
        <r>
          <rPr>
            <sz val="9"/>
            <color indexed="81"/>
            <rFont val="Tahoma"/>
            <family val="2"/>
          </rPr>
          <t xml:space="preserve">
Månedslønn</t>
        </r>
      </text>
    </comment>
    <comment ref="G11" authorId="0" shapeId="0" xr:uid="{00000000-0006-0000-0500-000005000000}">
      <text>
        <r>
          <rPr>
            <b/>
            <sz val="9"/>
            <color indexed="81"/>
            <rFont val="Tahoma"/>
            <family val="2"/>
          </rPr>
          <t>Malene Nerland:</t>
        </r>
        <r>
          <rPr>
            <sz val="9"/>
            <color indexed="81"/>
            <rFont val="Tahoma"/>
            <family val="2"/>
          </rPr>
          <t xml:space="preserve">
Timer per år i turnus</t>
        </r>
      </text>
    </comment>
    <comment ref="H11" authorId="0" shapeId="0" xr:uid="{00000000-0006-0000-0500-000006000000}">
      <text>
        <r>
          <rPr>
            <b/>
            <sz val="9"/>
            <color indexed="81"/>
            <rFont val="Tahoma"/>
            <family val="2"/>
          </rPr>
          <t>Malene Nerland:</t>
        </r>
        <r>
          <rPr>
            <sz val="9"/>
            <color indexed="81"/>
            <rFont val="Tahoma"/>
            <family val="2"/>
          </rPr>
          <t xml:space="preserve">
Måneder per år</t>
        </r>
      </text>
    </comment>
    <comment ref="F13" authorId="0" shapeId="0" xr:uid="{00000000-0006-0000-0500-000007000000}">
      <text>
        <r>
          <rPr>
            <b/>
            <sz val="9"/>
            <color indexed="81"/>
            <rFont val="Tahoma"/>
            <family val="2"/>
          </rPr>
          <t>Malene Nerland:</t>
        </r>
        <r>
          <rPr>
            <sz val="9"/>
            <color indexed="81"/>
            <rFont val="Tahoma"/>
            <family val="2"/>
          </rPr>
          <t xml:space="preserve">
Månedslønn
</t>
        </r>
      </text>
    </comment>
    <comment ref="G13" authorId="0" shapeId="0" xr:uid="{00000000-0006-0000-0500-000008000000}">
      <text>
        <r>
          <rPr>
            <b/>
            <sz val="9"/>
            <color indexed="81"/>
            <rFont val="Tahoma"/>
            <family val="2"/>
          </rPr>
          <t>Malene Nerland:</t>
        </r>
        <r>
          <rPr>
            <sz val="9"/>
            <color indexed="81"/>
            <rFont val="Tahoma"/>
            <family val="2"/>
          </rPr>
          <t xml:space="preserve">
Timer per år i turnus</t>
        </r>
      </text>
    </comment>
    <comment ref="H13" authorId="0" shapeId="0" xr:uid="{00000000-0006-0000-0500-000009000000}">
      <text>
        <r>
          <rPr>
            <b/>
            <sz val="9"/>
            <color indexed="81"/>
            <rFont val="Tahoma"/>
            <family val="2"/>
          </rPr>
          <t>Malene Nerland:</t>
        </r>
        <r>
          <rPr>
            <sz val="9"/>
            <color indexed="81"/>
            <rFont val="Tahoma"/>
            <family val="2"/>
          </rPr>
          <t xml:space="preserve">
Måneder per år</t>
        </r>
      </text>
    </comment>
    <comment ref="F14" authorId="0" shapeId="0" xr:uid="{00000000-0006-0000-0500-00000A000000}">
      <text>
        <r>
          <rPr>
            <b/>
            <sz val="9"/>
            <color indexed="81"/>
            <rFont val="Tahoma"/>
            <family val="2"/>
          </rPr>
          <t>Malene Nerland:</t>
        </r>
        <r>
          <rPr>
            <sz val="9"/>
            <color indexed="81"/>
            <rFont val="Tahoma"/>
            <family val="2"/>
          </rPr>
          <t xml:space="preserve">
Månedslønn</t>
        </r>
      </text>
    </comment>
    <comment ref="G14" authorId="0" shapeId="0" xr:uid="{00000000-0006-0000-0500-00000B000000}">
      <text>
        <r>
          <rPr>
            <b/>
            <sz val="9"/>
            <color indexed="81"/>
            <rFont val="Tahoma"/>
            <family val="2"/>
          </rPr>
          <t>Malene Nerland:</t>
        </r>
        <r>
          <rPr>
            <sz val="9"/>
            <color indexed="81"/>
            <rFont val="Tahoma"/>
            <family val="2"/>
          </rPr>
          <t xml:space="preserve">
Timer per år i turnus</t>
        </r>
      </text>
    </comment>
    <comment ref="H14" authorId="0" shapeId="0" xr:uid="{00000000-0006-0000-0500-00000C000000}">
      <text>
        <r>
          <rPr>
            <b/>
            <sz val="9"/>
            <color indexed="81"/>
            <rFont val="Tahoma"/>
            <family val="2"/>
          </rPr>
          <t>Malene Nerland:</t>
        </r>
        <r>
          <rPr>
            <sz val="9"/>
            <color indexed="81"/>
            <rFont val="Tahoma"/>
            <family val="2"/>
          </rPr>
          <t xml:space="preserve">
Måneder per år</t>
        </r>
      </text>
    </comment>
    <comment ref="F18" authorId="0" shapeId="0" xr:uid="{00000000-0006-0000-0500-00000D000000}">
      <text>
        <r>
          <rPr>
            <b/>
            <sz val="9"/>
            <color indexed="81"/>
            <rFont val="Tahoma"/>
            <family val="2"/>
          </rPr>
          <t>Malene Nerland:</t>
        </r>
        <r>
          <rPr>
            <sz val="9"/>
            <color indexed="81"/>
            <rFont val="Tahoma"/>
            <family val="2"/>
          </rPr>
          <t xml:space="preserve">
Månedslønn
</t>
        </r>
      </text>
    </comment>
    <comment ref="G18" authorId="0" shapeId="0" xr:uid="{00000000-0006-0000-0500-00000E000000}">
      <text>
        <r>
          <rPr>
            <b/>
            <sz val="9"/>
            <color indexed="81"/>
            <rFont val="Tahoma"/>
            <family val="2"/>
          </rPr>
          <t>Malene Nerland:</t>
        </r>
        <r>
          <rPr>
            <sz val="9"/>
            <color indexed="81"/>
            <rFont val="Tahoma"/>
            <family val="2"/>
          </rPr>
          <t xml:space="preserve">
Måneder per år</t>
        </r>
      </text>
    </comment>
    <comment ref="F19" authorId="0" shapeId="0" xr:uid="{00000000-0006-0000-0500-00000F000000}">
      <text>
        <r>
          <rPr>
            <b/>
            <sz val="9"/>
            <color indexed="81"/>
            <rFont val="Tahoma"/>
            <family val="2"/>
          </rPr>
          <t>Malene Nerland:</t>
        </r>
        <r>
          <rPr>
            <sz val="9"/>
            <color indexed="81"/>
            <rFont val="Tahoma"/>
            <family val="2"/>
          </rPr>
          <t xml:space="preserve">
Månedslønn
</t>
        </r>
      </text>
    </comment>
    <comment ref="F20" authorId="0" shapeId="0" xr:uid="{00000000-0006-0000-0500-000010000000}">
      <text>
        <r>
          <rPr>
            <b/>
            <sz val="9"/>
            <color indexed="81"/>
            <rFont val="Tahoma"/>
            <family val="2"/>
          </rPr>
          <t>Malene Nerland:</t>
        </r>
        <r>
          <rPr>
            <sz val="9"/>
            <color indexed="81"/>
            <rFont val="Tahoma"/>
            <family val="2"/>
          </rPr>
          <t xml:space="preserve">
Månedslønn
</t>
        </r>
      </text>
    </comment>
    <comment ref="G20" authorId="0" shapeId="0" xr:uid="{00000000-0006-0000-0500-000011000000}">
      <text>
        <r>
          <rPr>
            <b/>
            <sz val="9"/>
            <color indexed="81"/>
            <rFont val="Tahoma"/>
            <family val="2"/>
          </rPr>
          <t>Malene Nerland:</t>
        </r>
        <r>
          <rPr>
            <sz val="9"/>
            <color indexed="81"/>
            <rFont val="Tahoma"/>
            <family val="2"/>
          </rPr>
          <t xml:space="preserve">
Timer per år (ekskludert ferie)
</t>
        </r>
      </text>
    </comment>
    <comment ref="H20" authorId="0" shapeId="0" xr:uid="{00000000-0006-0000-0500-000012000000}">
      <text>
        <r>
          <rPr>
            <b/>
            <sz val="9"/>
            <color indexed="81"/>
            <rFont val="Tahoma"/>
            <family val="2"/>
          </rPr>
          <t>Malene Nerland:</t>
        </r>
        <r>
          <rPr>
            <sz val="9"/>
            <color indexed="81"/>
            <rFont val="Tahoma"/>
            <family val="2"/>
          </rPr>
          <t xml:space="preserve">
Måneder per år</t>
        </r>
      </text>
    </comment>
    <comment ref="I20" authorId="0" shapeId="0" xr:uid="{00000000-0006-0000-0500-000013000000}">
      <text>
        <r>
          <rPr>
            <b/>
            <sz val="9"/>
            <color indexed="81"/>
            <rFont val="Tahoma"/>
            <family val="2"/>
          </rPr>
          <t>Malene Nerland:</t>
        </r>
        <r>
          <rPr>
            <sz val="9"/>
            <color indexed="81"/>
            <rFont val="Tahoma"/>
            <family val="2"/>
          </rPr>
          <t xml:space="preserve">
Timer per dag
</t>
        </r>
      </text>
    </comment>
    <comment ref="F21" authorId="0" shapeId="0" xr:uid="{00000000-0006-0000-0500-000014000000}">
      <text>
        <r>
          <rPr>
            <b/>
            <sz val="9"/>
            <color indexed="81"/>
            <rFont val="Tahoma"/>
            <family val="2"/>
          </rPr>
          <t>Malene Nerland:</t>
        </r>
        <r>
          <rPr>
            <sz val="9"/>
            <color indexed="81"/>
            <rFont val="Tahoma"/>
            <family val="2"/>
          </rPr>
          <t xml:space="preserve">
Månedslønn
</t>
        </r>
      </text>
    </comment>
    <comment ref="G21" authorId="0" shapeId="0" xr:uid="{00000000-0006-0000-0500-000015000000}">
      <text>
        <r>
          <rPr>
            <b/>
            <sz val="9"/>
            <color indexed="81"/>
            <rFont val="Tahoma"/>
            <family val="2"/>
          </rPr>
          <t>Malene Nerland:</t>
        </r>
        <r>
          <rPr>
            <sz val="9"/>
            <color indexed="81"/>
            <rFont val="Tahoma"/>
            <family val="2"/>
          </rPr>
          <t xml:space="preserve">
Timer per år (ekskludert ferie)
</t>
        </r>
      </text>
    </comment>
    <comment ref="H21" authorId="0" shapeId="0" xr:uid="{00000000-0006-0000-0500-000016000000}">
      <text>
        <r>
          <rPr>
            <b/>
            <sz val="9"/>
            <color indexed="81"/>
            <rFont val="Tahoma"/>
            <family val="2"/>
          </rPr>
          <t>Malene Nerland:</t>
        </r>
        <r>
          <rPr>
            <sz val="9"/>
            <color indexed="81"/>
            <rFont val="Tahoma"/>
            <family val="2"/>
          </rPr>
          <t xml:space="preserve">
Måneder per år</t>
        </r>
      </text>
    </comment>
    <comment ref="G23" authorId="0" shapeId="0" xr:uid="{00000000-0006-0000-0500-000017000000}">
      <text>
        <r>
          <rPr>
            <b/>
            <sz val="9"/>
            <color indexed="81"/>
            <rFont val="Tahoma"/>
            <family val="2"/>
          </rPr>
          <t>Malene Nerland:</t>
        </r>
        <r>
          <rPr>
            <sz val="9"/>
            <color indexed="81"/>
            <rFont val="Tahoma"/>
            <family val="2"/>
          </rPr>
          <t xml:space="preserve">
Timer per år (ekskludert ferie)
</t>
        </r>
      </text>
    </comment>
    <comment ref="H23" authorId="0" shapeId="0" xr:uid="{00000000-0006-0000-0500-000018000000}">
      <text>
        <r>
          <rPr>
            <b/>
            <sz val="9"/>
            <color indexed="81"/>
            <rFont val="Tahoma"/>
            <family val="2"/>
          </rPr>
          <t>Malene Nerland:</t>
        </r>
        <r>
          <rPr>
            <sz val="9"/>
            <color indexed="81"/>
            <rFont val="Tahoma"/>
            <family val="2"/>
          </rPr>
          <t xml:space="preserve">
Måneder per år</t>
        </r>
      </text>
    </comment>
    <comment ref="I23" authorId="0" shapeId="0" xr:uid="{00000000-0006-0000-0500-000019000000}">
      <text>
        <r>
          <rPr>
            <b/>
            <sz val="9"/>
            <color indexed="81"/>
            <rFont val="Tahoma"/>
            <family val="2"/>
          </rPr>
          <t>Malene Nerland:</t>
        </r>
        <r>
          <rPr>
            <sz val="9"/>
            <color indexed="81"/>
            <rFont val="Tahoma"/>
            <family val="2"/>
          </rPr>
          <t xml:space="preserve">
Timer per dag
</t>
        </r>
      </text>
    </comment>
    <comment ref="F26" authorId="0" shapeId="0" xr:uid="{00000000-0006-0000-0500-00001A000000}">
      <text>
        <r>
          <rPr>
            <b/>
            <sz val="9"/>
            <color indexed="81"/>
            <rFont val="Tahoma"/>
            <family val="2"/>
          </rPr>
          <t>Malene Nerland:</t>
        </r>
        <r>
          <rPr>
            <sz val="9"/>
            <color indexed="81"/>
            <rFont val="Tahoma"/>
            <family val="2"/>
          </rPr>
          <t xml:space="preserve">
Pembrolizumab og nivolumab</t>
        </r>
      </text>
    </comment>
    <comment ref="G26" authorId="0" shapeId="0" xr:uid="{00000000-0006-0000-0500-00001B000000}">
      <text>
        <r>
          <rPr>
            <b/>
            <sz val="9"/>
            <color indexed="81"/>
            <rFont val="Tahoma"/>
            <family val="2"/>
          </rPr>
          <t>Malene Nerland:</t>
        </r>
        <r>
          <rPr>
            <sz val="9"/>
            <color indexed="81"/>
            <rFont val="Tahoma"/>
            <family val="2"/>
          </rPr>
          <t xml:space="preserve">
Atezolizumab</t>
        </r>
      </text>
    </comment>
    <comment ref="H26" authorId="0" shapeId="0" xr:uid="{00000000-0006-0000-0500-00001C000000}">
      <text>
        <r>
          <rPr>
            <b/>
            <sz val="9"/>
            <color indexed="81"/>
            <rFont val="Tahoma"/>
            <family val="2"/>
          </rPr>
          <t>Malene Nerland:</t>
        </r>
        <r>
          <rPr>
            <sz val="9"/>
            <color indexed="81"/>
            <rFont val="Tahoma"/>
            <family val="2"/>
          </rPr>
          <t xml:space="preserve">
Trastuzumab/Herceptin til infusjon</t>
        </r>
      </text>
    </comment>
    <comment ref="I26" authorId="0" shapeId="0" xr:uid="{00000000-0006-0000-0500-00001D000000}">
      <text>
        <r>
          <rPr>
            <b/>
            <sz val="9"/>
            <color indexed="81"/>
            <rFont val="Tahoma"/>
            <family val="2"/>
          </rPr>
          <t>Malene Nerland:</t>
        </r>
        <r>
          <rPr>
            <sz val="9"/>
            <color indexed="81"/>
            <rFont val="Tahoma"/>
            <family val="2"/>
          </rPr>
          <t xml:space="preserve">
Rituximab/MabThera til infusjon</t>
        </r>
      </text>
    </comment>
    <comment ref="F27" authorId="0" shapeId="0" xr:uid="{00000000-0006-0000-0500-00001E000000}">
      <text>
        <r>
          <rPr>
            <b/>
            <sz val="9"/>
            <color indexed="81"/>
            <rFont val="Tahoma"/>
            <family val="2"/>
          </rPr>
          <t>Malene Nerland:</t>
        </r>
        <r>
          <rPr>
            <sz val="9"/>
            <color indexed="81"/>
            <rFont val="Tahoma"/>
            <family val="2"/>
          </rPr>
          <t xml:space="preserve">
Engangsutstyr</t>
        </r>
      </text>
    </comment>
    <comment ref="G27" authorId="0" shapeId="0" xr:uid="{00000000-0006-0000-0500-00001F000000}">
      <text>
        <r>
          <rPr>
            <b/>
            <sz val="9"/>
            <color indexed="81"/>
            <rFont val="Tahoma"/>
            <family val="2"/>
          </rPr>
          <t>Malene Nerland:</t>
        </r>
        <r>
          <rPr>
            <sz val="9"/>
            <color indexed="81"/>
            <rFont val="Tahoma"/>
            <family val="2"/>
          </rPr>
          <t xml:space="preserve">
Timelønn sykepleier (inkl. avgift og sosiale kostnader). Rundet opp.</t>
        </r>
      </text>
    </comment>
    <comment ref="F29" authorId="0" shapeId="0" xr:uid="{00000000-0006-0000-0500-000020000000}">
      <text>
        <r>
          <rPr>
            <b/>
            <sz val="9"/>
            <color indexed="81"/>
            <rFont val="Tahoma"/>
            <family val="2"/>
          </rPr>
          <t>Malene Nerland:</t>
        </r>
        <r>
          <rPr>
            <sz val="9"/>
            <color indexed="81"/>
            <rFont val="Tahoma"/>
            <family val="2"/>
          </rPr>
          <t xml:space="preserve">
2ad
</t>
        </r>
      </text>
    </comment>
    <comment ref="F30" authorId="0" shapeId="0" xr:uid="{00000000-0006-0000-0500-000021000000}">
      <text>
        <r>
          <rPr>
            <b/>
            <sz val="9"/>
            <color indexed="81"/>
            <rFont val="Tahoma"/>
            <family val="2"/>
          </rPr>
          <t>Malene Nerland:</t>
        </r>
        <r>
          <rPr>
            <sz val="9"/>
            <color indexed="81"/>
            <rFont val="Tahoma"/>
            <family val="2"/>
          </rPr>
          <t xml:space="preserve">
2cd</t>
        </r>
      </text>
    </comment>
    <comment ref="F31" authorId="0" shapeId="0" xr:uid="{00000000-0006-0000-0500-000022000000}">
      <text>
        <r>
          <rPr>
            <b/>
            <sz val="9"/>
            <color indexed="81"/>
            <rFont val="Tahoma"/>
            <family val="2"/>
          </rPr>
          <t>Malene Nerland:</t>
        </r>
        <r>
          <rPr>
            <sz val="9"/>
            <color indexed="81"/>
            <rFont val="Tahoma"/>
            <family val="2"/>
          </rPr>
          <t xml:space="preserve">
2ad</t>
        </r>
      </text>
    </comment>
    <comment ref="G31" authorId="0" shapeId="0" xr:uid="{00000000-0006-0000-0500-000023000000}">
      <text>
        <r>
          <rPr>
            <b/>
            <sz val="9"/>
            <color indexed="81"/>
            <rFont val="Tahoma"/>
            <family val="2"/>
          </rPr>
          <t>Malene Nerland:</t>
        </r>
        <r>
          <rPr>
            <sz val="9"/>
            <color indexed="81"/>
            <rFont val="Tahoma"/>
            <family val="2"/>
          </rPr>
          <t xml:space="preserve">
2dd</t>
        </r>
      </text>
    </comment>
    <comment ref="F32" authorId="0" shapeId="0" xr:uid="{00000000-0006-0000-0500-000024000000}">
      <text>
        <r>
          <rPr>
            <b/>
            <sz val="9"/>
            <color indexed="81"/>
            <rFont val="Tahoma"/>
            <family val="2"/>
          </rPr>
          <t>Malene Nerland:</t>
        </r>
        <r>
          <rPr>
            <sz val="9"/>
            <color indexed="81"/>
            <rFont val="Tahoma"/>
            <family val="2"/>
          </rPr>
          <t xml:space="preserve">
3ad</t>
        </r>
      </text>
    </comment>
    <comment ref="F36" authorId="0" shapeId="0" xr:uid="{00000000-0006-0000-0500-000025000000}">
      <text>
        <r>
          <rPr>
            <b/>
            <sz val="9"/>
            <color indexed="81"/>
            <rFont val="Tahoma"/>
            <family val="2"/>
          </rPr>
          <t>Malene Nerland:</t>
        </r>
        <r>
          <rPr>
            <sz val="9"/>
            <color indexed="81"/>
            <rFont val="Tahoma"/>
            <family val="2"/>
          </rPr>
          <t xml:space="preserve">
Netto transportkost RMR (HF og HELFO) - SHT
</t>
        </r>
      </text>
    </comment>
    <comment ref="G36" authorId="0" shapeId="0" xr:uid="{00000000-0006-0000-0500-000026000000}">
      <text>
        <r>
          <rPr>
            <b/>
            <sz val="9"/>
            <color indexed="81"/>
            <rFont val="Tahoma"/>
            <family val="2"/>
          </rPr>
          <t>Malene Nerland:</t>
        </r>
        <r>
          <rPr>
            <sz val="9"/>
            <color indexed="81"/>
            <rFont val="Tahoma"/>
            <family val="2"/>
          </rPr>
          <t xml:space="preserve">
Antall rekvisisjoner (SHT)</t>
        </r>
      </text>
    </comment>
    <comment ref="H39" authorId="0" shapeId="0" xr:uid="{00000000-0006-0000-0500-000027000000}">
      <text>
        <r>
          <rPr>
            <b/>
            <sz val="9"/>
            <color indexed="81"/>
            <rFont val="Tahoma"/>
            <family val="2"/>
          </rPr>
          <t>Malene Nerland:</t>
        </r>
        <r>
          <rPr>
            <sz val="9"/>
            <color indexed="81"/>
            <rFont val="Tahoma"/>
            <family val="2"/>
          </rPr>
          <t xml:space="preserve">
antall dager med behandling</t>
        </r>
      </text>
    </comment>
  </commentList>
</comments>
</file>

<file path=xl/sharedStrings.xml><?xml version="1.0" encoding="utf-8"?>
<sst xmlns="http://schemas.openxmlformats.org/spreadsheetml/2006/main" count="432" uniqueCount="253">
  <si>
    <t>Enhetskostnader V1.6</t>
  </si>
  <si>
    <t>Innhold</t>
  </si>
  <si>
    <t>0.1 Innhold og struktur</t>
  </si>
  <si>
    <t>Oversikt over arkfaner og struktur</t>
  </si>
  <si>
    <t>0.2 Endringslogg</t>
  </si>
  <si>
    <t>Alle endringer som gjøres skrives inn med navn og dato</t>
  </si>
  <si>
    <t>0.3 Kilder</t>
  </si>
  <si>
    <t>Alle kilder legges inn i denne arkfanen</t>
  </si>
  <si>
    <t>1.1 Enhetskostnader</t>
  </si>
  <si>
    <t>Alle enhetskostnader ligger i denne arkfanen</t>
  </si>
  <si>
    <t>1.2 Forutsetninger</t>
  </si>
  <si>
    <t>Her ligger det forutsetninger som gjelder generelt for metodevurderinger og forutsetninger for å beregne enhetskostnader</t>
  </si>
  <si>
    <t>Enhetskostnader-Forutsetninger</t>
  </si>
  <si>
    <t>Hvis en sats eller forutsetning avhenger av flere komponenter beregnes dette i denne arkfanen.</t>
  </si>
  <si>
    <t>Prognoser og indekser</t>
  </si>
  <si>
    <t>Informasjonen brukes til å prisjustere enhetskostnadene til samme kroneår</t>
  </si>
  <si>
    <t>Endringslogg</t>
  </si>
  <si>
    <t>Navn</t>
  </si>
  <si>
    <t>Dato</t>
  </si>
  <si>
    <t>Versjon</t>
  </si>
  <si>
    <t>Navn på fil</t>
  </si>
  <si>
    <t>Hva er endret</t>
  </si>
  <si>
    <t>Malene Nerland</t>
  </si>
  <si>
    <t>V1</t>
  </si>
  <si>
    <t>Enhetskostnader V1</t>
  </si>
  <si>
    <t>Første versjon av enhetskostnader. Basert på tidligere arbeid som har vært publisert i pdf. Det er innhentet mer og ny informasjon enn tidligere.</t>
  </si>
  <si>
    <t>V1.1</t>
  </si>
  <si>
    <t>Enhetskostnader V1.1</t>
  </si>
  <si>
    <t>"1.1 Enhetskostnader": Reise - transport, pasientreiser er oppdatert med 2020 data, rad 42. "Prognoser og indekser": Konsumprisindeks og BNP, rad 19 og 20. Oppdatert med 2020 statistikk. B10 oppdatert med 2020.</t>
  </si>
  <si>
    <t>V1.2</t>
  </si>
  <si>
    <t>Enhetskostnader V1.2</t>
  </si>
  <si>
    <t xml:space="preserve">"1.1 Enhetskostnader": Fjernet enhetskostnaden "Fordel med oral administrasjon" på grunn av datakvalitet. </t>
  </si>
  <si>
    <t>Beatriz Luís</t>
  </si>
  <si>
    <t>V1.3</t>
  </si>
  <si>
    <t>Enhetskostnader V1.3</t>
  </si>
  <si>
    <t>"1.1 Enhetskostnader": Oppdatere tekst i kommentar for verdien av tid for lege og konsultasjon legebesøk. Oppdatert DRG enhetspris for 2021 og 2022. "Prognoser og indekser": Konsumprisindeks oppdatert med 2021 statistikk og BNP 2019, 2020 og 2021 tallene oppdatert. "1.2 Forutsetninger": Endret DRG kode for livets sluttfase, C29.</t>
  </si>
  <si>
    <t>Martin Aamodt og Per Svor</t>
  </si>
  <si>
    <t>V1.4</t>
  </si>
  <si>
    <t>Enhetskostnader V1.4</t>
  </si>
  <si>
    <t>Oppdatert navn fra Statens legemiddelverk til Direktoratet for Medisinske Produkter."1.1 Enhetskostnader": Oppdatert DRG enhetspris for 2023."Prognoser og indekser": Konsumprisindeks oppdatert med 2022 og 2023 statistikk. BNP tall for 2021 og 2022 oppdatert.</t>
  </si>
  <si>
    <t>Per Svor</t>
  </si>
  <si>
    <t>V1.5</t>
  </si>
  <si>
    <t>Enhetskostnader V1.5</t>
  </si>
  <si>
    <t>"1.1 Enhetskostnader": Oppdatert DRG enhetspris for 2024."Prognoser og indekser": BNP tall for 2022 er oppdatert og 2023 er lagt inn.</t>
  </si>
  <si>
    <t>V1.6</t>
  </si>
  <si>
    <t>"1.1 Enhetskostnader": Oppdatert DRG enhetspris for 2025."Prognoser og indekser": BNP tall for 2023 er oppdatert og 2024 er lagt inn, KPI 2024 lagt inn. Presisering av administrasjonskostnader ved flere påfølgende infusjoner, se tilhørende dokument for mer informasjon.</t>
  </si>
  <si>
    <t>Kilder</t>
  </si>
  <si>
    <t>Navn på kilde i verktøyet</t>
  </si>
  <si>
    <t>Full kilde</t>
  </si>
  <si>
    <t>Nettside</t>
  </si>
  <si>
    <t>Kommentar</t>
  </si>
  <si>
    <t>DFØ (2023)</t>
  </si>
  <si>
    <t>DFØ (2023): Veileder i samfunnsøkonomiske analyser.</t>
  </si>
  <si>
    <t>https://dfo.no/fagomrader/utredning-og-analyse-av-statlige-tiltak/samfunnsokonomiske-analyser/veileder-i-samfunnsokonomiske-analyser</t>
  </si>
  <si>
    <t>Helsedirektoratet (2022)</t>
  </si>
  <si>
    <t>Helsedirektoratet (2022): Innsatsstyrt finansiering (ISF) – regelverk</t>
  </si>
  <si>
    <t>https://www.helsedirektoratet.no/tema/finansiering/innsatsstyrt-finansiering-og-drg-systemet/innsatsstyrt-finansiering-isf</t>
  </si>
  <si>
    <t>Helsedirektoratet (2020)</t>
  </si>
  <si>
    <t>Helsedirektoratet (2020): Samfunnsøkonomisk vurdering av smitteverntiltak (covid-19) - førtse rapport (7.april 2020)</t>
  </si>
  <si>
    <t>https://www.helsedirektoratet.no/rapporter/samfunnsokonomisk-vurdering-av-smitteverntiltak-covid-19/Samfunns%C3%B8konomiske%20virkninger%20smitteverntiltak%20covid-19.pdf/_/attachment/inline/cf0faf7e-1789-4183-968b-7f230d20b63f:5a06ef046ea00a0ec3881f42eae60fb722621525/Samfunns%C3%B8konomisk%20vurdering%20av%20smitteverntiltak%20-%20covid-19.pdf</t>
  </si>
  <si>
    <t>Legeforeningen (2019)</t>
  </si>
  <si>
    <t xml:space="preserve">Legeforeningen (2019): Normaltariff for fastleger og legevakt 2019-2020
</t>
  </si>
  <si>
    <t>https://normaltariffen.legeforeningen.no/asset/pdf/Fastlegetariffen-2019-2020.pdf</t>
  </si>
  <si>
    <t xml:space="preserve">Legeforeningen (2019): Kommentarutgave til normaltariffen kapittel II (oppdatert 12.12.2019)
</t>
  </si>
  <si>
    <t>https://www.legeforeningen.no/contentassets/7adf34e1e0ee49b6bf10d525b417b4a4/kommentarutgaven-til-normaltariffen-2019-2020.pdf</t>
  </si>
  <si>
    <t>Lindemark et al (2017)</t>
  </si>
  <si>
    <t>Lindemark et al (2017): Costs and expected gain in lifetime health from intensive care versus general ward care of 30,712 individual patients: a distribution-weighted cost-effectiveness analysis</t>
  </si>
  <si>
    <t>https://www.ncbi.nlm.nih.gov/pubmed/28830479</t>
  </si>
  <si>
    <t>Lindemark et al (2017), Additional file 2</t>
  </si>
  <si>
    <t>Lindemark et al (2017): Additional file 2</t>
  </si>
  <si>
    <t>file:///H:/Downloads/13054_2017_1792_MOESM2_ESM.pdf</t>
  </si>
  <si>
    <t>Norges Bank (2020)</t>
  </si>
  <si>
    <t>Norges Bank (2020): Statistikk - Om inflasjon</t>
  </si>
  <si>
    <t>https://www.norges-bank.no/tema/Statistikk/Inflasjon/</t>
  </si>
  <si>
    <t>NOU (2012)</t>
  </si>
  <si>
    <t>NOU (2012): 16. Samfunnsøkonomiske analyser. Norges offentlig utredning</t>
  </si>
  <si>
    <t>https://www.regjeringen.no/no/dokumenter/nou-2012-16/id700821/?ch=1&amp;q=</t>
  </si>
  <si>
    <t>Regjeringen (2014)</t>
  </si>
  <si>
    <r>
      <t xml:space="preserve">Regjeringen (2014): </t>
    </r>
    <r>
      <rPr>
        <i/>
        <sz val="11"/>
        <color theme="1"/>
        <rFont val="Calibri"/>
        <family val="2"/>
        <scheme val="minor"/>
      </rPr>
      <t xml:space="preserve">Rundskriv R. Nr. R-109/14. </t>
    </r>
    <r>
      <rPr>
        <sz val="11"/>
        <color theme="1"/>
        <rFont val="Calibri"/>
        <family val="2"/>
        <scheme val="minor"/>
      </rPr>
      <t>Det Kongelige Finansdepartement.</t>
    </r>
  </si>
  <si>
    <t>https://www.regjeringen.no/globalassets/upload/fin/vedlegg/okstyring/rundskriv/faste/r_109_2014.pdf</t>
  </si>
  <si>
    <t>Regjeringen (2021)</t>
  </si>
  <si>
    <r>
      <t xml:space="preserve">Regjeringen (2021): </t>
    </r>
    <r>
      <rPr>
        <i/>
        <sz val="11"/>
        <rFont val="Calibri"/>
        <family val="2"/>
        <scheme val="minor"/>
      </rPr>
      <t>Meld.St. 14 (2020-2021), Perspektivmeldingen 2021.</t>
    </r>
  </si>
  <si>
    <t>https://www.regjeringen.no/contentassets/91bdfca9231d45408e8107a703fee790/no/pdfs/stm202020210014000dddpdfs.pdf</t>
  </si>
  <si>
    <t>Skatteetaten (2020)</t>
  </si>
  <si>
    <t>Skatteetaten (2020): Sats for: Arbeidsgiveravgift</t>
  </si>
  <si>
    <t>https://www.skatteetaten.no/satser/arbeidsgiveravgift/</t>
  </si>
  <si>
    <t>DMP (2023)</t>
  </si>
  <si>
    <t>DMP (2023): Retningslinjer for dokumentasjonsgrunnlag for hurtig metodevurdering av legemidler</t>
  </si>
  <si>
    <t>https://www.dmp.no/offentlig-finansiering/metodevurdering-av-legemidler/dokumentasjon-for-metodevurdering/retningslinjer-for-dokumentasjonsgrunnlag-for-hurtig-metodevurdering-av-legemidler</t>
  </si>
  <si>
    <t>DMP (2024)</t>
  </si>
  <si>
    <t>DMP (2024): Dokumentasjon av enhetskostnader</t>
  </si>
  <si>
    <t>https://www.dmp.no/offentlig-finansiering/metodevurdering-av-legemidler/dokumentasjon-for-metodevurdering/enhetskostnadsdatabase</t>
  </si>
  <si>
    <t>SSB (2020)</t>
  </si>
  <si>
    <t>SSB (2020): Statistikkbanken, Lønn. Tabell: 11418. Yrkesfordelt månedslønn, etter sektor, kjønn og arbeidstid 2015 - 2019</t>
  </si>
  <si>
    <t>https://www.ssb.no/statbank/table/11418/</t>
  </si>
  <si>
    <t>Valgt månedslønn (kr), gjennomsnitt, 2211 Allmennpraktiserende lege, 2212 Legespesialist, 2221 Spesialsykepleier, 2223 Sykepleier, 2019</t>
  </si>
  <si>
    <t>SSB (2020): Gjennomsnittlig månedslønn for kvinner og menn i ulike sektorer</t>
  </si>
  <si>
    <t>https://www.ssb.no/arbeid-og-lonn/statistikker/lonnansatt</t>
  </si>
  <si>
    <t>SSB (2024)</t>
  </si>
  <si>
    <t>SSB (2025): Konsumprisindeksen</t>
  </si>
  <si>
    <t>https://www.ssb.no/kpi</t>
  </si>
  <si>
    <t>SSB (2025): Statistikkbanken, Nasjonalregnskap. Tabell: 09842. BNP</t>
  </si>
  <si>
    <t>https://www.ssb.no/statbank/table/09842</t>
  </si>
  <si>
    <t>BNP og andre hovedstørrelser (kr per innbygger) 1970 - 2023</t>
  </si>
  <si>
    <t xml:space="preserve">Farge forklaring: </t>
  </si>
  <si>
    <t>Gule celler er 'Default'-verdier. Kan endres hvis det finnes nye og oppdaterte kilder.</t>
  </si>
  <si>
    <t>Endres ved oppdaterte kilder</t>
  </si>
  <si>
    <t>Røde celler er formler. Skal ikke endres.</t>
  </si>
  <si>
    <t>Formel - skal ikke endres</t>
  </si>
  <si>
    <t>Standardsatser</t>
  </si>
  <si>
    <t xml:space="preserve">Informasjon </t>
  </si>
  <si>
    <t>Fylles ut ved endring:</t>
  </si>
  <si>
    <t>Prisjustering</t>
  </si>
  <si>
    <t>Benevning</t>
  </si>
  <si>
    <t>Opprinnelig kroneår</t>
  </si>
  <si>
    <t>Kilde</t>
  </si>
  <si>
    <t>Indeks for prisjustering</t>
  </si>
  <si>
    <t>Bakgrunn til sats</t>
  </si>
  <si>
    <t xml:space="preserve">Dato </t>
  </si>
  <si>
    <t>Lagt inn:</t>
  </si>
  <si>
    <t>Verdien av tid</t>
  </si>
  <si>
    <t xml:space="preserve">Lege </t>
  </si>
  <si>
    <t>Lege (Allmennpraktiserende)</t>
  </si>
  <si>
    <t>SSB (2020), SLV (2021)</t>
  </si>
  <si>
    <t>BNP</t>
  </si>
  <si>
    <t>Verdien av tid kan i enkelte tilfeller brukes der det ikke er relevant å bruke satser for konsultasjoner, eller DRG-kode ikke er dekkende for prosedyren. Gjennomsnittlig timeslønn allmennpraktiserende lege, inkludert avgifter og sosiale kostnader. På bakgrunn av brutto månedslønn.</t>
  </si>
  <si>
    <t>MN</t>
  </si>
  <si>
    <t>Lege (spesialist)</t>
  </si>
  <si>
    <t>Verdien av tid kan i enkelte tilfeller brukes der det ikke er relevant å bruke satser for konsultasjoner, eller DRG-kode ikke er dekkende for prosedyren. Gjennomsnittlig timeslønn spesialist lege, inkludert avgifter og sosiale kostnader. På bakgrunn av brutto månedslønn.</t>
  </si>
  <si>
    <t xml:space="preserve">Sykepleier </t>
  </si>
  <si>
    <t>Spesialsykepleier</t>
  </si>
  <si>
    <t>Gjennomsnittlig timeslønn spesialsykepleier, inkludert avgifter og sosiale kostnader. På bakgrunn av brutto månedslønn.</t>
  </si>
  <si>
    <t>Sykepleier</t>
  </si>
  <si>
    <t>Gjennomsnittlig timeslønn sykepleier, inkludert avgifter og sosiale kostnader. På bakgrunn av brutto månedslønn.</t>
  </si>
  <si>
    <t>Pasient og pårørende</t>
  </si>
  <si>
    <t>Fritid</t>
  </si>
  <si>
    <t>Det samme som netto lønn per time. Det anbefales at verdien av tid beregnes ved en felles sats for alle pasienter og pårørende uavhengig av deres arbeidslivstilknytning, og at denne satsen er gitt ved verdien av fritid. Verdien av økt/redusert fritid er gitt ved: Gjennomsnittslønn i Norge etter skatt</t>
  </si>
  <si>
    <t xml:space="preserve">Generelt - menn og kvinner </t>
  </si>
  <si>
    <t>Lønn (inkl. avgifter og sosiale kostnader) - Per år</t>
  </si>
  <si>
    <t>Gjennomsnittlig årslønn for en lønnsmottaker i Norge, inkludert avgifter og sosiale kostnader. På bakgrunn av brutto månedslønn.</t>
  </si>
  <si>
    <t>Lønn (inkl. avgifter og sosiale kostnader) - Per måned</t>
  </si>
  <si>
    <t>Gjennomsnittlig månedslønn for en lønnsmottaker i Norge, inkludert avgifter og sosiale kostnader. På bakgrunn av brutto månedslønn.</t>
  </si>
  <si>
    <t>Lønn (inkl. avgifter og sosiale kostnader) - Per dag</t>
  </si>
  <si>
    <t>Gjennomsnittlig lønn per dag for en lønnsmottaker i Norge, inkludert avgifter og sosiale kostnader. På bakgrunn av brutto månedslønn.</t>
  </si>
  <si>
    <t>Lønn (inkl. avgifter og sosiale kostnader) - Per time</t>
  </si>
  <si>
    <t>Gjennomsnittlig timelønn per dag for en lønnsmottaker i Norge, inkludert avgifter og sosiale kostnader. På bakgrunn av brutto månedslønn.</t>
  </si>
  <si>
    <t>Netto lønn - Per måned</t>
  </si>
  <si>
    <t>Gjennomsnittlig netto månedslønn for en lønnsmottaker i Norge, skattekostnader fratrukket bruttolønn. På bakgrunn av brutto månedslønn.</t>
  </si>
  <si>
    <t>Netto lønn - Per dag</t>
  </si>
  <si>
    <t>Gjennomsnittlig netto lønn per dag for en lønnsmottaker i Norge, skattekostnader fratrukket bruttolønn. På bakgrunn av brutto månedslønn.</t>
  </si>
  <si>
    <t>Netto lønn - Per time</t>
  </si>
  <si>
    <t>Gjennomsnittlig netto timelønn for en lønnsmottaker i Norge, skattekostnader fratrukket bruttolønn. På bakgrunn av brutto månedslønn.</t>
  </si>
  <si>
    <t>Infusjon</t>
  </si>
  <si>
    <t>Administrasjon - Intravenøs</t>
  </si>
  <si>
    <t>KPI</t>
  </si>
  <si>
    <t>Gjennomsnittskostnad av fire ulike legemidler. Inneholder tidsbruk for helsepersonell, produksjon på apotek, engangsutstyr, kostnader for tilleggsmedikasjon og overheadkostnader. Ved flere påfølgende infusjonsbehandlinger, se dokumentet "dokumentasjon av enhetskostnader"</t>
  </si>
  <si>
    <t>Administrasjon - Subkutan</t>
  </si>
  <si>
    <t xml:space="preserve">Gjennomsnittskostnad av to ulike legemidler. Inneholder tidsbruk for helsepersonell, engangsutstyr og overheadkostnader. </t>
  </si>
  <si>
    <t>Konsultasjon</t>
  </si>
  <si>
    <t>Legebesøk - Allmenn</t>
  </si>
  <si>
    <t>Satser for konsultasjoner brukes hovedsakelig for å verdsette kostnaden av en legetime. I tilfeller der det ikke er relevant med konsultasjonssatser eller vi ikke har dekkende satser, og legens tidsbruk er en kostnad, kan vi i noen tilfeller bruke verdien av tid for lege. Takst 2ad - Konsultasjon hos allmennpraktiserende lege</t>
  </si>
  <si>
    <t>Legebesøk - Allmenn  dobbeltime</t>
  </si>
  <si>
    <t>Satser for konsultasjoner brukes hovedsakelig for å verdsette kostnaden av en legetime. I tilfeller der det ikke er relevant med konsultasjonssatser eller vi ikke har dekkende satser, og legens tidsbruk er en kostnad, kan vi i noen tilfeller bruke verdien av tid for lege. Takst 2ad+2cd - Konsultasjon hos allmennpraktiserende lege + Tillegg for tidsbruk ved konsultasjonsvarighet utover 20 min.</t>
  </si>
  <si>
    <t>Legebesøk - Spesialist  i allmennmedisin</t>
  </si>
  <si>
    <t xml:space="preserve">Satser for konsultasjoner brukes hovedsakelig for å verdsette kostnaden av en legetime. I tilfeller der det ikke er relevant med konsultasjonssatser eller vi ikke har dekkende satser, og legens tidsbruk er en kostnad, kan vi i noen tilfeller bruke verdien av tid for lege. Takst 2ad + 2dd </t>
  </si>
  <si>
    <t>Legebesøk - Spesialist (unntatt i allmennmedisin)</t>
  </si>
  <si>
    <t>Satser for konsultasjoner brukes hovedsakelig for å verdsette kostnaden av en legetime. I tilfeller der det ikke er relevant med konsultasjonssatser eller vi ikke har dekkende satser, og legens tidsbruk er en kostnad, kan vi i noen tilfeller bruke verdien av tid for lege. Takst 3ad - Taksten gjelder spesialistpraksis, dvs. andre spesialister enn spesialister i allmennmedisin. Taksten benyttes overfor alle pasienter, også for pasienter uten henvisning.</t>
  </si>
  <si>
    <t>Tester og undersøkelser</t>
  </si>
  <si>
    <t>Blodprøve</t>
  </si>
  <si>
    <t>Takst 701a - Taking av prøver til laboratorieundersøkelse på legens kontor eller innsending
til medisinsk laboratorium
blodlegemer og mikroskopering av urinsediment</t>
  </si>
  <si>
    <t>Reise - transport</t>
  </si>
  <si>
    <t>Pasientreise</t>
  </si>
  <si>
    <t xml:space="preserve">Fra pasientreiser er det mottatt kostnadstall som viser transportkostnad for helseforetakene og HELFO, etter at egenbetalingen til pasient er trukket fra. Beregning av snittkostnad besøk per pasient en vei. For en behandling vil kostnaden være det dobbelte, da det er tur og retur. </t>
  </si>
  <si>
    <t>Sykehus</t>
  </si>
  <si>
    <t>Liggedøgn - Generelt</t>
  </si>
  <si>
    <t>Kr</t>
  </si>
  <si>
    <t>Basert på SAMDATA som viser et gjennomsnitt på ca. 17 000 kr i 2017</t>
  </si>
  <si>
    <t xml:space="preserve">Liggedøgn - Intensivdøgn </t>
  </si>
  <si>
    <t xml:space="preserve">Utgangspunktet er en gjennomsnittlig behandlingskostnad ved norske sykehus i 2018 på kroner 50 500. Denne prisjusteres med tre prosent per år, og multipliseres med kostnadsvekten på 15. Vi får da et anslag på om lag 800 000 kroner per intensivpasient. Antatt et sykehusopphold på 16 dager. 800 000/16=50 000 </t>
  </si>
  <si>
    <t>DRG</t>
  </si>
  <si>
    <t>Enhetspriser</t>
  </si>
  <si>
    <t>PS</t>
  </si>
  <si>
    <t>MA &amp; PS</t>
  </si>
  <si>
    <t>Kostnader</t>
  </si>
  <si>
    <t>Livets sluttfase</t>
  </si>
  <si>
    <t>Helsedirektoratet (2022), SLV (2021)</t>
  </si>
  <si>
    <t>Antar at pasienter er i livets sluttfase i 14 dager og mottar palliativ behandling i denne fasen.  Enhetskostnaden * DRG vekt * 14 dager.</t>
  </si>
  <si>
    <t>Gule celler er "standard"-verdier eller celler.  Kan endres når det en ny kilde.</t>
  </si>
  <si>
    <t>Røde celler er formler eller skal ikke endres.</t>
  </si>
  <si>
    <t>Skal ikke endres</t>
  </si>
  <si>
    <t>Forutsetninger</t>
  </si>
  <si>
    <t>Informasjon</t>
  </si>
  <si>
    <t>Fylles ut ved endring</t>
  </si>
  <si>
    <t>Kildeår</t>
  </si>
  <si>
    <t>Bakgrunn til forutsetning</t>
  </si>
  <si>
    <t>Lagt inn (Navn):</t>
  </si>
  <si>
    <t>Generelle forutsetninger</t>
  </si>
  <si>
    <t>Kalkulasjonsrente</t>
  </si>
  <si>
    <t>0-39 år</t>
  </si>
  <si>
    <t xml:space="preserve">Prosent </t>
  </si>
  <si>
    <t>Regjeringen (2014), s. 5</t>
  </si>
  <si>
    <t>For å kunne sammenlikne og summere nytte- og kostnadsvirkninger som oppstår på ulike tidspunkt, er det behov for en kalkulasjonsrente.</t>
  </si>
  <si>
    <t>Kalkulasjonsrenten begynner ved første året i analyseperioden</t>
  </si>
  <si>
    <t>40 - 74 år</t>
  </si>
  <si>
    <t>For en periode utover 40 år vil det være vanskelig å finne en langsiktig rente i markedet. Økende usikkerhet om alternativavkastningen er hensyntatt gjennom en reduksjon i kalkulasjonsrenten etter 40 år</t>
  </si>
  <si>
    <t xml:space="preserve">75 år --&gt; </t>
  </si>
  <si>
    <t>Prognoser</t>
  </si>
  <si>
    <t>Fremtidig KPI</t>
  </si>
  <si>
    <t xml:space="preserve">Regjeringen har fastsatt et inflasjonsmål for pengepolitikken i Norge. </t>
  </si>
  <si>
    <t>Pengepolitikken er innrettet mot at konsumprisene over tid skal vokse med nær 2 prosent årlig.</t>
  </si>
  <si>
    <t>Fremtidig vekst i reelt BNP (reallønnsvekst)</t>
  </si>
  <si>
    <t>Bruttonasjonalproduktet (BNP) viser verdien av alt som produseres i et land i en viss periode, vanligvis et år, og omfatter verdiskapingen (value added) i all næringsvirksomhet, offentlig forvaltning og ideelle organisasjoner. BNP er et mål for den samlede verdiskapingen i et land.</t>
  </si>
  <si>
    <t>Forventet vekst i BNP per innbygger, 2020-2060.</t>
  </si>
  <si>
    <t>BL</t>
  </si>
  <si>
    <t>Arbeidsgiveravgift</t>
  </si>
  <si>
    <t>Arbeidsgiveravgift er en avgift som arbeidsgivere må betale for sine ansatte som en del av finansieringen av folketrygden. Avgiften er regionalt differensiert.</t>
  </si>
  <si>
    <t>Sosiale kostnader</t>
  </si>
  <si>
    <t xml:space="preserve">Sosiale kostnader skal dekke andre kostnader i tilknytning ved å ha en ansatt, f.eks.  pensjonskostnader, yrkesskadeforsikring, velferdskostnader (kurs, ulykkesforsikringer, subsidiert kantine, gaver til ansatte, julebord eller andre sosiale sammenkomster) og forventet sykefravær. </t>
  </si>
  <si>
    <t>Skattesats - lønn</t>
  </si>
  <si>
    <t>Skattesats på bruttolønn for å regne om til nettolønn.</t>
  </si>
  <si>
    <t xml:space="preserve">Overheadkostnader </t>
  </si>
  <si>
    <t>Prosent</t>
  </si>
  <si>
    <t xml:space="preserve">Skal dekke andre typer utgifter som ledelse (på flere nivåer), renhold,  lokalleie, strøm etc. Er et påslag på de gjennomsnittlige infusjonskostnadene. </t>
  </si>
  <si>
    <t>Tidsbruk - sykepleier</t>
  </si>
  <si>
    <t>Time</t>
  </si>
  <si>
    <t>Tidsbruk sykepleier for en subkutan injeksjon i timer - er det samme som 15 minutter.</t>
  </si>
  <si>
    <t>Justering av takst</t>
  </si>
  <si>
    <t>Antall</t>
  </si>
  <si>
    <t>SLV (2018), s. 27</t>
  </si>
  <si>
    <t>Som en tommelfingerregel kan kostnaden per kontakt/konsultasjon beregnes ved å multiplisere honorar fra normaltariffen (dvs. takstbeløpet i kroner) med to (x2). Dette fordi kostnadene ved å tilby lege- og spesialisttjenester (for eksempel, én konsultasjon) dekkes både gjennom honorarene (summen av refusjonsandelen og pasientenes egenandel) og offentlig tilskudd (basistilskudd til allmennleger, driftstilskudd til spesialister). Beregningen gir et grovt anslag, men å multiplisere honoraret med to antas å gi et bedre kostnadsestimat enn ved å benytte takstbeløpet direkte.</t>
  </si>
  <si>
    <t xml:space="preserve">Livets sluttfase </t>
  </si>
  <si>
    <t>Vekt</t>
  </si>
  <si>
    <t xml:space="preserve">DRG 959W (palliativ dagbehandling i regi av palliativt senter) </t>
  </si>
  <si>
    <t>Beregning til "1.1 Enhetskostnader"</t>
  </si>
  <si>
    <t xml:space="preserve">Sats/Forutsetning </t>
  </si>
  <si>
    <t>Opprinnelig Kroneår</t>
  </si>
  <si>
    <t>Kr/time</t>
  </si>
  <si>
    <t>Kr/år</t>
  </si>
  <si>
    <t>Kr/måned</t>
  </si>
  <si>
    <t>Kr/dag</t>
  </si>
  <si>
    <t>Kr per tur</t>
  </si>
  <si>
    <t>Beregning til "1.2 Forutsetninger"</t>
  </si>
  <si>
    <t>Grå celler er statistikk. Skal ikke endres hvis ikke oppdaterte kilder.</t>
  </si>
  <si>
    <t>Statistikk  - skal ikke endres hvis ikke oppdaterte kilder</t>
  </si>
  <si>
    <t>Siste år med statistikk</t>
  </si>
  <si>
    <t>Statistikk</t>
  </si>
  <si>
    <t>Info</t>
  </si>
  <si>
    <t>Bakgrunn</t>
  </si>
  <si>
    <t>Konsumprisindeks (2015=100)</t>
  </si>
  <si>
    <t>Konsumprisindeksen (KPI) beskriver utviklingen i konsumpriser for varer og tjenester etterspurt av private husholdninger bosatt i Norge. Endringen i KPI er et vanlig mål for inflasjon.</t>
  </si>
  <si>
    <t>Hentet ut statistikk fra SSB sine nettsider. Referanseår er 2015. Får oppgitt på nivå 100 med en desimal. Blir oppdatert den 10. hver måned. Nye tall for et helt år hentes ut 10. januar.</t>
  </si>
  <si>
    <t>Bruttonasjonalprodukt (BNP) er verdien av de varer og tjenester som er produsert i løpet av et år i et land.</t>
  </si>
  <si>
    <t>Hentet ut statistikk fra SSB sine nettsider. 2022 og 2023 tallene er foreløpig tall. Tabell 09842. Nye tall for et helt år hentes ut ca. 8. februar. Tall for to år tilbake er justert noe.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</si>
</sst>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_-* #,##0_-;\-* #,##0_-;_-* &quot;-&quot;??_-;_-@_-"/>
    <numFmt numFmtId="166" formatCode="0.0\ %"/>
  </numFmts>
  <fonts count="2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u/>
      <sz val="11"/>
      <color theme="10"/>
      <name val="Calibri"/>
      <family val="2"/>
      <scheme val="minor"/>
    </font>
    <font>
      <b/>
      <sz val="16"/>
      <name val="Calibri"/>
      <family val="2"/>
      <scheme val="minor"/>
    </font>
    <font>
      <b/>
      <sz val="14"/>
      <name val="Calibri"/>
      <family val="2"/>
      <scheme val="minor"/>
    </font>
    <font>
      <sz val="11"/>
      <name val="Calibri"/>
      <family val="2"/>
      <scheme val="minor"/>
    </font>
    <font>
      <sz val="11"/>
      <color rgb="FFFF0000"/>
      <name val="Calibri"/>
      <family val="2"/>
      <scheme val="minor"/>
    </font>
    <font>
      <b/>
      <sz val="11"/>
      <name val="Calibri"/>
      <family val="2"/>
      <scheme val="minor"/>
    </font>
    <font>
      <b/>
      <u/>
      <sz val="16"/>
      <color theme="1"/>
      <name val="Calibri"/>
      <family val="2"/>
      <scheme val="minor"/>
    </font>
    <font>
      <sz val="16"/>
      <color theme="1"/>
      <name val="Calibri"/>
      <family val="2"/>
      <scheme val="minor"/>
    </font>
    <font>
      <sz val="11"/>
      <color theme="1"/>
      <name val="Calibri"/>
      <family val="2"/>
      <scheme val="minor"/>
    </font>
    <font>
      <sz val="9"/>
      <color indexed="81"/>
      <name val="Tahoma"/>
      <family val="2"/>
    </font>
    <font>
      <b/>
      <sz val="9"/>
      <color indexed="81"/>
      <name val="Tahoma"/>
      <family val="2"/>
    </font>
    <font>
      <i/>
      <sz val="11"/>
      <color theme="1"/>
      <name val="Calibri"/>
      <family val="2"/>
      <scheme val="minor"/>
    </font>
    <font>
      <u/>
      <sz val="11"/>
      <name val="Calibri"/>
      <family val="2"/>
      <scheme val="minor"/>
    </font>
    <font>
      <sz val="8"/>
      <name val="Calibri"/>
      <family val="2"/>
      <scheme val="minor"/>
    </font>
    <font>
      <i/>
      <sz val="11"/>
      <name val="Calibri"/>
      <family val="2"/>
      <scheme val="minor"/>
    </font>
    <font>
      <b/>
      <sz val="24"/>
      <name val="Calibri"/>
      <family val="2"/>
      <scheme val="minor"/>
    </font>
  </fonts>
  <fills count="7">
    <fill>
      <patternFill patternType="none"/>
    </fill>
    <fill>
      <patternFill patternType="gray125"/>
    </fill>
    <fill>
      <patternFill patternType="solid">
        <fgColor rgb="FFADDFE4"/>
        <bgColor indexed="64"/>
      </patternFill>
    </fill>
    <fill>
      <patternFill patternType="solid">
        <fgColor rgb="FF71C6D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5"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213">
    <xf numFmtId="0" fontId="0" fillId="0" borderId="0" xfId="0"/>
    <xf numFmtId="0" fontId="0" fillId="0" borderId="0" xfId="0"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7" xfId="0" applyFill="1" applyBorder="1"/>
    <xf numFmtId="0" fontId="3" fillId="3" borderId="2" xfId="0" applyFont="1" applyFill="1" applyBorder="1"/>
    <xf numFmtId="0" fontId="0" fillId="3" borderId="8" xfId="0" applyFill="1" applyBorder="1"/>
    <xf numFmtId="1" fontId="0" fillId="3" borderId="8" xfId="0" applyNumberFormat="1" applyFill="1" applyBorder="1"/>
    <xf numFmtId="0" fontId="0" fillId="4" borderId="4" xfId="0" applyFill="1" applyBorder="1"/>
    <xf numFmtId="0" fontId="0" fillId="4" borderId="0" xfId="0" applyFill="1"/>
    <xf numFmtId="0" fontId="0" fillId="4" borderId="5" xfId="0" applyFill="1" applyBorder="1"/>
    <xf numFmtId="0" fontId="0" fillId="4" borderId="5" xfId="0" applyFill="1" applyBorder="1" applyAlignment="1">
      <alignment horizontal="fill"/>
    </xf>
    <xf numFmtId="0" fontId="4" fillId="3" borderId="2" xfId="0" applyFont="1" applyFill="1" applyBorder="1"/>
    <xf numFmtId="0" fontId="2" fillId="2" borderId="4" xfId="0" applyFont="1" applyFill="1" applyBorder="1"/>
    <xf numFmtId="0" fontId="2" fillId="2" borderId="0" xfId="0" applyFont="1" applyFill="1"/>
    <xf numFmtId="1" fontId="2" fillId="2" borderId="0" xfId="0" applyNumberFormat="1" applyFont="1" applyFill="1"/>
    <xf numFmtId="0" fontId="2" fillId="2" borderId="5" xfId="0" applyFont="1" applyFill="1" applyBorder="1"/>
    <xf numFmtId="0" fontId="6" fillId="3" borderId="2" xfId="1" applyFont="1" applyFill="1" applyBorder="1"/>
    <xf numFmtId="0" fontId="2" fillId="2" borderId="9" xfId="0" applyFont="1" applyFill="1" applyBorder="1"/>
    <xf numFmtId="0" fontId="2" fillId="2" borderId="10" xfId="0" applyFont="1" applyFill="1" applyBorder="1"/>
    <xf numFmtId="0" fontId="2" fillId="2" borderId="11" xfId="0" applyFont="1" applyFill="1" applyBorder="1"/>
    <xf numFmtId="0" fontId="0" fillId="5" borderId="13" xfId="0" applyFill="1" applyBorder="1" applyProtection="1">
      <protection locked="0"/>
    </xf>
    <xf numFmtId="0" fontId="0" fillId="6" borderId="15" xfId="0" applyFill="1" applyBorder="1"/>
    <xf numFmtId="0" fontId="8" fillId="4" borderId="12" xfId="0" applyFont="1" applyFill="1" applyBorder="1" applyAlignment="1">
      <alignment horizontal="left"/>
    </xf>
    <xf numFmtId="0" fontId="8" fillId="4" borderId="14" xfId="0" applyFont="1" applyFill="1" applyBorder="1" applyAlignment="1">
      <alignment horizontal="left"/>
    </xf>
    <xf numFmtId="0" fontId="7" fillId="3" borderId="2" xfId="0" applyFont="1" applyFill="1" applyBorder="1" applyAlignment="1">
      <alignment horizontal="left"/>
    </xf>
    <xf numFmtId="0" fontId="8" fillId="0" borderId="0" xfId="0" applyFont="1"/>
    <xf numFmtId="0" fontId="1" fillId="3" borderId="4" xfId="0" applyFont="1" applyFill="1" applyBorder="1"/>
    <xf numFmtId="0" fontId="1" fillId="3" borderId="5" xfId="0" applyFont="1" applyFill="1" applyBorder="1"/>
    <xf numFmtId="0" fontId="2" fillId="3" borderId="4" xfId="0" applyFont="1" applyFill="1" applyBorder="1"/>
    <xf numFmtId="0" fontId="2" fillId="3" borderId="8" xfId="0" applyFont="1" applyFill="1" applyBorder="1"/>
    <xf numFmtId="0" fontId="7" fillId="3" borderId="8" xfId="0" applyFont="1" applyFill="1" applyBorder="1"/>
    <xf numFmtId="0" fontId="2" fillId="3" borderId="3" xfId="0" applyFont="1" applyFill="1" applyBorder="1"/>
    <xf numFmtId="0" fontId="1" fillId="2" borderId="4" xfId="0" applyFont="1" applyFill="1" applyBorder="1"/>
    <xf numFmtId="0" fontId="0" fillId="2" borderId="5" xfId="0" applyFill="1" applyBorder="1"/>
    <xf numFmtId="0" fontId="5" fillId="2" borderId="4" xfId="1" applyFill="1" applyBorder="1"/>
    <xf numFmtId="0" fontId="1" fillId="3" borderId="0" xfId="0" applyFont="1" applyFill="1"/>
    <xf numFmtId="0" fontId="0" fillId="2" borderId="0" xfId="0" applyFill="1" applyAlignment="1">
      <alignment horizontal="right"/>
    </xf>
    <xf numFmtId="0" fontId="0" fillId="2" borderId="0" xfId="0" applyFill="1"/>
    <xf numFmtId="0" fontId="0" fillId="4" borderId="6" xfId="0" applyFill="1" applyBorder="1"/>
    <xf numFmtId="0" fontId="0" fillId="4" borderId="16" xfId="0" applyFill="1" applyBorder="1"/>
    <xf numFmtId="0" fontId="0" fillId="4" borderId="7" xfId="0" applyFill="1" applyBorder="1"/>
    <xf numFmtId="0" fontId="0" fillId="2" borderId="4" xfId="0" applyFill="1" applyBorder="1"/>
    <xf numFmtId="0" fontId="0" fillId="5" borderId="17" xfId="0" applyFill="1" applyBorder="1"/>
    <xf numFmtId="0" fontId="0" fillId="3" borderId="0" xfId="0" applyFill="1"/>
    <xf numFmtId="0" fontId="0" fillId="4" borderId="12" xfId="0" applyFill="1" applyBorder="1" applyAlignment="1">
      <alignment horizontal="left"/>
    </xf>
    <xf numFmtId="0" fontId="0" fillId="4" borderId="14" xfId="0" applyFill="1" applyBorder="1" applyAlignment="1">
      <alignment horizontal="left"/>
    </xf>
    <xf numFmtId="0" fontId="0" fillId="6" borderId="15" xfId="0" applyFill="1" applyBorder="1" applyAlignment="1">
      <alignment horizontal="left"/>
    </xf>
    <xf numFmtId="0" fontId="2" fillId="3" borderId="2" xfId="0" applyFont="1" applyFill="1" applyBorder="1" applyAlignment="1">
      <alignment horizontal="left"/>
    </xf>
    <xf numFmtId="0" fontId="0" fillId="3" borderId="3" xfId="0" applyFill="1" applyBorder="1" applyAlignment="1">
      <alignment horizontal="left"/>
    </xf>
    <xf numFmtId="0" fontId="1" fillId="3" borderId="8" xfId="0" applyFont="1" applyFill="1" applyBorder="1"/>
    <xf numFmtId="0" fontId="1" fillId="3" borderId="5" xfId="0" applyFont="1" applyFill="1" applyBorder="1" applyAlignment="1">
      <alignment horizontal="center"/>
    </xf>
    <xf numFmtId="0" fontId="3" fillId="3" borderId="4" xfId="0" applyFont="1" applyFill="1" applyBorder="1"/>
    <xf numFmtId="9" fontId="0" fillId="5" borderId="17" xfId="0" applyNumberFormat="1" applyFill="1" applyBorder="1"/>
    <xf numFmtId="0" fontId="1" fillId="3" borderId="0" xfId="0" applyFont="1" applyFill="1" applyAlignment="1">
      <alignment horizontal="center"/>
    </xf>
    <xf numFmtId="14" fontId="0" fillId="4" borderId="0" xfId="0" applyNumberFormat="1" applyFill="1"/>
    <xf numFmtId="0" fontId="5" fillId="4" borderId="0" xfId="1" applyFill="1" applyBorder="1"/>
    <xf numFmtId="0" fontId="5" fillId="4" borderId="4" xfId="1" applyFill="1" applyBorder="1"/>
    <xf numFmtId="0" fontId="7" fillId="3" borderId="2" xfId="0" applyFont="1" applyFill="1" applyBorder="1"/>
    <xf numFmtId="0" fontId="8" fillId="3" borderId="3" xfId="0" applyFont="1" applyFill="1" applyBorder="1"/>
    <xf numFmtId="0" fontId="6" fillId="3" borderId="2" xfId="0" applyFont="1" applyFill="1" applyBorder="1"/>
    <xf numFmtId="0" fontId="7" fillId="3" borderId="3" xfId="0" applyFont="1" applyFill="1" applyBorder="1" applyAlignment="1">
      <alignment horizontal="fill"/>
    </xf>
    <xf numFmtId="0" fontId="10" fillId="3" borderId="4" xfId="0" applyFont="1" applyFill="1" applyBorder="1"/>
    <xf numFmtId="0" fontId="10" fillId="3" borderId="5" xfId="0" applyFont="1" applyFill="1" applyBorder="1" applyAlignment="1">
      <alignment horizontal="fill"/>
    </xf>
    <xf numFmtId="0" fontId="6" fillId="3" borderId="4" xfId="0" applyFont="1" applyFill="1" applyBorder="1"/>
    <xf numFmtId="0" fontId="10" fillId="3" borderId="0" xfId="0" applyFont="1" applyFill="1"/>
    <xf numFmtId="0" fontId="8" fillId="4" borderId="0" xfId="0" applyFont="1" applyFill="1"/>
    <xf numFmtId="0" fontId="2" fillId="3" borderId="18" xfId="0" applyFont="1" applyFill="1" applyBorder="1"/>
    <xf numFmtId="0" fontId="1" fillId="3" borderId="3" xfId="0" applyFont="1" applyFill="1" applyBorder="1"/>
    <xf numFmtId="0" fontId="9" fillId="0" borderId="0" xfId="0" applyFont="1"/>
    <xf numFmtId="2" fontId="0" fillId="6" borderId="17" xfId="0" applyNumberFormat="1" applyFill="1" applyBorder="1"/>
    <xf numFmtId="0" fontId="7" fillId="3" borderId="4" xfId="0" applyFont="1" applyFill="1" applyBorder="1"/>
    <xf numFmtId="0" fontId="8" fillId="4" borderId="4" xfId="0" applyFont="1" applyFill="1" applyBorder="1"/>
    <xf numFmtId="0" fontId="8" fillId="4" borderId="6" xfId="0" applyFont="1" applyFill="1" applyBorder="1"/>
    <xf numFmtId="0" fontId="11" fillId="3" borderId="2" xfId="0" applyFont="1" applyFill="1" applyBorder="1"/>
    <xf numFmtId="0" fontId="7" fillId="3" borderId="5" xfId="0" applyFont="1" applyFill="1" applyBorder="1"/>
    <xf numFmtId="0" fontId="1" fillId="3" borderId="0" xfId="0" applyFont="1" applyFill="1" applyAlignment="1">
      <alignment horizontal="right"/>
    </xf>
    <xf numFmtId="0" fontId="1" fillId="3" borderId="0" xfId="0" applyFont="1" applyFill="1" applyAlignment="1">
      <alignment horizontal="left"/>
    </xf>
    <xf numFmtId="164" fontId="7" fillId="3" borderId="0" xfId="0" applyNumberFormat="1" applyFont="1" applyFill="1" applyAlignment="1">
      <alignment horizontal="left"/>
    </xf>
    <xf numFmtId="4" fontId="7" fillId="3" borderId="0" xfId="0" applyNumberFormat="1" applyFont="1" applyFill="1" applyAlignment="1">
      <alignment horizontal="right"/>
    </xf>
    <xf numFmtId="0" fontId="7" fillId="3" borderId="0" xfId="0" applyFont="1" applyFill="1" applyAlignment="1">
      <alignment horizontal="left"/>
    </xf>
    <xf numFmtId="0" fontId="11" fillId="3" borderId="4" xfId="0" applyFont="1" applyFill="1" applyBorder="1"/>
    <xf numFmtId="0" fontId="12" fillId="3" borderId="0" xfId="0" applyFont="1" applyFill="1" applyAlignment="1">
      <alignment horizontal="left"/>
    </xf>
    <xf numFmtId="4" fontId="12" fillId="3" borderId="0" xfId="0" applyNumberFormat="1" applyFont="1" applyFill="1" applyAlignment="1">
      <alignment horizontal="right"/>
    </xf>
    <xf numFmtId="0" fontId="12" fillId="3" borderId="5" xfId="0" applyFont="1" applyFill="1" applyBorder="1"/>
    <xf numFmtId="0" fontId="8" fillId="5" borderId="13" xfId="0" applyFont="1" applyFill="1" applyBorder="1" applyAlignment="1">
      <alignment horizontal="fill"/>
    </xf>
    <xf numFmtId="0" fontId="8" fillId="6" borderId="15" xfId="0" applyFont="1" applyFill="1" applyBorder="1"/>
    <xf numFmtId="165" fontId="0" fillId="5" borderId="17" xfId="2" applyNumberFormat="1" applyFont="1" applyFill="1" applyBorder="1"/>
    <xf numFmtId="0" fontId="9" fillId="4" borderId="5" xfId="0" applyFont="1" applyFill="1" applyBorder="1"/>
    <xf numFmtId="1" fontId="0" fillId="4" borderId="0" xfId="0" applyNumberFormat="1" applyFill="1"/>
    <xf numFmtId="1" fontId="0" fillId="5" borderId="17" xfId="0" applyNumberFormat="1" applyFill="1" applyBorder="1"/>
    <xf numFmtId="0" fontId="0" fillId="4" borderId="0" xfId="0" applyFill="1" applyAlignment="1">
      <alignment horizontal="left" wrapText="1"/>
    </xf>
    <xf numFmtId="14" fontId="0" fillId="0" borderId="0" xfId="0" applyNumberFormat="1"/>
    <xf numFmtId="14" fontId="7" fillId="3" borderId="8" xfId="0" applyNumberFormat="1" applyFont="1" applyFill="1" applyBorder="1"/>
    <xf numFmtId="14" fontId="1" fillId="3" borderId="0" xfId="0" applyNumberFormat="1" applyFont="1" applyFill="1"/>
    <xf numFmtId="14" fontId="0" fillId="2" borderId="0" xfId="0" applyNumberFormat="1" applyFill="1"/>
    <xf numFmtId="14" fontId="0" fillId="3" borderId="0" xfId="0" applyNumberFormat="1" applyFill="1"/>
    <xf numFmtId="14" fontId="0" fillId="4" borderId="16" xfId="0" applyNumberFormat="1" applyFill="1" applyBorder="1"/>
    <xf numFmtId="0" fontId="0" fillId="4" borderId="4" xfId="0" applyFill="1" applyBorder="1" applyAlignment="1">
      <alignment vertical="center"/>
    </xf>
    <xf numFmtId="0" fontId="0" fillId="4" borderId="5" xfId="0" applyFill="1" applyBorder="1" applyAlignment="1">
      <alignment horizontal="fill" vertical="center"/>
    </xf>
    <xf numFmtId="165" fontId="0" fillId="4" borderId="0" xfId="0" applyNumberFormat="1" applyFill="1"/>
    <xf numFmtId="1" fontId="0" fillId="2" borderId="0" xfId="0" applyNumberFormat="1" applyFill="1"/>
    <xf numFmtId="1" fontId="0" fillId="3" borderId="0" xfId="0" applyNumberFormat="1" applyFill="1"/>
    <xf numFmtId="0" fontId="0" fillId="4" borderId="4" xfId="0" applyFill="1" applyBorder="1" applyAlignment="1">
      <alignment vertical="top"/>
    </xf>
    <xf numFmtId="0" fontId="0" fillId="4" borderId="0" xfId="0" applyFill="1" applyAlignment="1">
      <alignment wrapText="1"/>
    </xf>
    <xf numFmtId="0" fontId="5" fillId="4" borderId="0" xfId="1" applyFill="1" applyAlignment="1">
      <alignment horizontal="fill"/>
    </xf>
    <xf numFmtId="0" fontId="1" fillId="2" borderId="0" xfId="0" applyFont="1" applyFill="1"/>
    <xf numFmtId="1" fontId="1" fillId="2" borderId="0" xfId="0" applyNumberFormat="1" applyFont="1" applyFill="1"/>
    <xf numFmtId="0" fontId="1" fillId="2" borderId="5" xfId="0" applyFont="1" applyFill="1" applyBorder="1"/>
    <xf numFmtId="14" fontId="1" fillId="2" borderId="0" xfId="0" applyNumberFormat="1" applyFont="1" applyFill="1"/>
    <xf numFmtId="165" fontId="0" fillId="2" borderId="0" xfId="0" applyNumberFormat="1" applyFill="1"/>
    <xf numFmtId="165" fontId="9" fillId="0" borderId="0" xfId="0" applyNumberFormat="1" applyFont="1"/>
    <xf numFmtId="9" fontId="0" fillId="5" borderId="17" xfId="3" applyFont="1" applyFill="1" applyBorder="1"/>
    <xf numFmtId="165" fontId="0" fillId="6" borderId="17" xfId="2" applyNumberFormat="1" applyFont="1" applyFill="1" applyBorder="1"/>
    <xf numFmtId="165" fontId="8" fillId="4" borderId="0" xfId="0" applyNumberFormat="1" applyFont="1" applyFill="1"/>
    <xf numFmtId="0" fontId="5" fillId="4" borderId="0" xfId="1" applyFill="1" applyBorder="1" applyAlignment="1">
      <alignment vertical="center"/>
    </xf>
    <xf numFmtId="0" fontId="8" fillId="3" borderId="4" xfId="0" applyFont="1" applyFill="1" applyBorder="1"/>
    <xf numFmtId="0" fontId="8" fillId="3" borderId="0" xfId="0" applyFont="1" applyFill="1"/>
    <xf numFmtId="0" fontId="8" fillId="3" borderId="5" xfId="0" applyFont="1" applyFill="1" applyBorder="1"/>
    <xf numFmtId="14" fontId="8" fillId="3" borderId="0" xfId="0" applyNumberFormat="1" applyFont="1" applyFill="1"/>
    <xf numFmtId="0" fontId="0" fillId="0" borderId="0" xfId="0" applyAlignment="1">
      <alignment horizontal="center"/>
    </xf>
    <xf numFmtId="0" fontId="0" fillId="2" borderId="0" xfId="0" applyFill="1" applyAlignment="1">
      <alignment horizontal="center"/>
    </xf>
    <xf numFmtId="0" fontId="0" fillId="4" borderId="0" xfId="0" applyFill="1" applyAlignment="1">
      <alignment horizontal="center"/>
    </xf>
    <xf numFmtId="0" fontId="0" fillId="3" borderId="0" xfId="0" applyFill="1" applyAlignment="1">
      <alignment horizontal="center"/>
    </xf>
    <xf numFmtId="0" fontId="0" fillId="0" borderId="0" xfId="0" applyAlignment="1">
      <alignment horizontal="left"/>
    </xf>
    <xf numFmtId="0" fontId="0" fillId="2" borderId="0" xfId="0" applyFill="1" applyAlignment="1">
      <alignment horizontal="left"/>
    </xf>
    <xf numFmtId="0" fontId="0" fillId="4" borderId="0" xfId="0" applyFill="1" applyAlignment="1">
      <alignment horizontal="left"/>
    </xf>
    <xf numFmtId="0" fontId="0" fillId="3" borderId="0" xfId="0" applyFill="1" applyAlignment="1">
      <alignment horizontal="left"/>
    </xf>
    <xf numFmtId="4" fontId="1" fillId="3" borderId="0" xfId="0" applyNumberFormat="1" applyFont="1" applyFill="1" applyAlignment="1">
      <alignment horizontal="left"/>
    </xf>
    <xf numFmtId="4" fontId="7" fillId="3" borderId="0" xfId="0" applyNumberFormat="1" applyFont="1" applyFill="1" applyAlignment="1">
      <alignment horizontal="left"/>
    </xf>
    <xf numFmtId="3" fontId="0" fillId="4" borderId="0" xfId="0" applyNumberFormat="1" applyFill="1" applyAlignment="1">
      <alignment horizontal="left"/>
    </xf>
    <xf numFmtId="165" fontId="0" fillId="4" borderId="0" xfId="2" applyNumberFormat="1" applyFont="1" applyFill="1" applyBorder="1" applyAlignment="1">
      <alignment horizontal="left"/>
    </xf>
    <xf numFmtId="9" fontId="0" fillId="4" borderId="0" xfId="3" applyFont="1" applyFill="1" applyBorder="1" applyAlignment="1">
      <alignment horizontal="left"/>
    </xf>
    <xf numFmtId="3" fontId="0" fillId="2" borderId="0" xfId="0" applyNumberFormat="1" applyFill="1" applyAlignment="1">
      <alignment horizontal="left"/>
    </xf>
    <xf numFmtId="165" fontId="0" fillId="2" borderId="0" xfId="2" applyNumberFormat="1" applyFont="1" applyFill="1" applyBorder="1" applyAlignment="1">
      <alignment horizontal="left"/>
    </xf>
    <xf numFmtId="9" fontId="0" fillId="2" borderId="0" xfId="3" applyFont="1" applyFill="1" applyBorder="1" applyAlignment="1">
      <alignment horizontal="left"/>
    </xf>
    <xf numFmtId="4" fontId="12" fillId="3" borderId="0" xfId="0" applyNumberFormat="1" applyFont="1" applyFill="1" applyAlignment="1">
      <alignment horizontal="left"/>
    </xf>
    <xf numFmtId="2" fontId="0" fillId="4" borderId="0" xfId="0" applyNumberFormat="1" applyFill="1" applyAlignment="1">
      <alignment horizontal="fill" wrapText="1"/>
    </xf>
    <xf numFmtId="0" fontId="2" fillId="3" borderId="8" xfId="0" applyFont="1" applyFill="1" applyBorder="1" applyAlignment="1">
      <alignment horizontal="center"/>
    </xf>
    <xf numFmtId="0" fontId="5" fillId="2" borderId="0" xfId="1" applyFill="1" applyBorder="1" applyAlignment="1">
      <alignment horizontal="center"/>
    </xf>
    <xf numFmtId="0" fontId="1" fillId="2" borderId="0" xfId="0" applyFont="1" applyFill="1" applyAlignment="1">
      <alignment horizontal="center"/>
    </xf>
    <xf numFmtId="0" fontId="0" fillId="4" borderId="16" xfId="0" applyFill="1" applyBorder="1" applyAlignment="1">
      <alignment horizontal="center"/>
    </xf>
    <xf numFmtId="0" fontId="0" fillId="4" borderId="0" xfId="0" applyFill="1" applyAlignment="1">
      <alignment horizontal="fill" wrapText="1"/>
    </xf>
    <xf numFmtId="0" fontId="0" fillId="4" borderId="4" xfId="0" applyFill="1" applyBorder="1" applyAlignment="1">
      <alignment horizontal="left"/>
    </xf>
    <xf numFmtId="0" fontId="1" fillId="2" borderId="5" xfId="0" applyFont="1" applyFill="1" applyBorder="1" applyAlignment="1">
      <alignment horizontal="center"/>
    </xf>
    <xf numFmtId="0" fontId="1" fillId="3" borderId="8" xfId="0" applyFont="1" applyFill="1" applyBorder="1" applyAlignment="1">
      <alignment horizontal="right"/>
    </xf>
    <xf numFmtId="0" fontId="1" fillId="3" borderId="8" xfId="0" applyFont="1" applyFill="1" applyBorder="1" applyAlignment="1">
      <alignment horizontal="left"/>
    </xf>
    <xf numFmtId="4" fontId="1" fillId="3" borderId="8" xfId="0" applyNumberFormat="1" applyFont="1" applyFill="1" applyBorder="1" applyAlignment="1">
      <alignment horizontal="left"/>
    </xf>
    <xf numFmtId="4" fontId="1" fillId="3" borderId="8" xfId="0" applyNumberFormat="1" applyFont="1" applyFill="1" applyBorder="1" applyAlignment="1">
      <alignment horizontal="right"/>
    </xf>
    <xf numFmtId="1" fontId="0" fillId="4" borderId="0" xfId="0" applyNumberFormat="1" applyFill="1" applyAlignment="1">
      <alignment horizontal="left" vertical="top"/>
    </xf>
    <xf numFmtId="1" fontId="0" fillId="4" borderId="5" xfId="0" applyNumberFormat="1" applyFill="1" applyBorder="1"/>
    <xf numFmtId="0" fontId="0" fillId="4" borderId="5" xfId="0" applyFill="1" applyBorder="1" applyAlignment="1">
      <alignment horizontal="center"/>
    </xf>
    <xf numFmtId="0" fontId="0" fillId="3" borderId="5" xfId="0" applyFill="1" applyBorder="1" applyAlignment="1">
      <alignment horizontal="center"/>
    </xf>
    <xf numFmtId="0" fontId="8" fillId="3" borderId="5" xfId="0" applyFont="1" applyFill="1" applyBorder="1" applyAlignment="1">
      <alignment horizontal="center"/>
    </xf>
    <xf numFmtId="0" fontId="0" fillId="2" borderId="5" xfId="0" applyFill="1" applyBorder="1" applyAlignment="1">
      <alignment horizontal="center"/>
    </xf>
    <xf numFmtId="0" fontId="0" fillId="4" borderId="7" xfId="0" applyFill="1" applyBorder="1" applyAlignment="1">
      <alignment horizontal="center"/>
    </xf>
    <xf numFmtId="0" fontId="8" fillId="4" borderId="0" xfId="0" applyFont="1" applyFill="1" applyAlignment="1">
      <alignment horizontal="left"/>
    </xf>
    <xf numFmtId="165" fontId="0" fillId="0" borderId="0" xfId="2" applyNumberFormat="1" applyFont="1"/>
    <xf numFmtId="165" fontId="0" fillId="3" borderId="8" xfId="2" applyNumberFormat="1" applyFont="1" applyFill="1" applyBorder="1"/>
    <xf numFmtId="165" fontId="10" fillId="3" borderId="0" xfId="2" applyNumberFormat="1" applyFont="1" applyFill="1" applyBorder="1"/>
    <xf numFmtId="165" fontId="1" fillId="3" borderId="0" xfId="2" applyNumberFormat="1" applyFont="1" applyFill="1" applyBorder="1"/>
    <xf numFmtId="165" fontId="0" fillId="2" borderId="0" xfId="2" applyNumberFormat="1" applyFont="1" applyFill="1" applyBorder="1"/>
    <xf numFmtId="165" fontId="0" fillId="2" borderId="0" xfId="2" applyNumberFormat="1" applyFont="1" applyFill="1" applyBorder="1" applyAlignment="1">
      <alignment horizontal="right"/>
    </xf>
    <xf numFmtId="165" fontId="1" fillId="2" borderId="0" xfId="2" applyNumberFormat="1" applyFont="1" applyFill="1" applyBorder="1"/>
    <xf numFmtId="165" fontId="0" fillId="3" borderId="0" xfId="2" applyNumberFormat="1" applyFont="1" applyFill="1" applyBorder="1"/>
    <xf numFmtId="0" fontId="0" fillId="3" borderId="5" xfId="0" applyFill="1" applyBorder="1" applyAlignment="1">
      <alignment horizontal="fill"/>
    </xf>
    <xf numFmtId="0" fontId="5" fillId="3" borderId="4" xfId="1" applyFill="1" applyBorder="1"/>
    <xf numFmtId="0" fontId="5" fillId="3" borderId="6" xfId="1" applyFill="1" applyBorder="1"/>
    <xf numFmtId="165" fontId="0" fillId="6" borderId="20" xfId="2" applyNumberFormat="1" applyFont="1" applyFill="1" applyBorder="1"/>
    <xf numFmtId="165" fontId="0" fillId="5" borderId="20" xfId="2" applyNumberFormat="1" applyFont="1" applyFill="1" applyBorder="1"/>
    <xf numFmtId="2" fontId="0" fillId="6" borderId="20" xfId="0" applyNumberFormat="1" applyFill="1" applyBorder="1"/>
    <xf numFmtId="0" fontId="5" fillId="4" borderId="6" xfId="1" applyFill="1" applyBorder="1"/>
    <xf numFmtId="0" fontId="5" fillId="4" borderId="16" xfId="1" applyFill="1" applyBorder="1"/>
    <xf numFmtId="0" fontId="5" fillId="4" borderId="0" xfId="1" applyFill="1" applyBorder="1" applyAlignment="1">
      <alignment horizontal="fill"/>
    </xf>
    <xf numFmtId="0" fontId="9" fillId="4" borderId="0" xfId="0" applyFont="1" applyFill="1"/>
    <xf numFmtId="0" fontId="9" fillId="4" borderId="0" xfId="0" applyFont="1" applyFill="1" applyAlignment="1">
      <alignment horizontal="left"/>
    </xf>
    <xf numFmtId="14" fontId="8" fillId="4" borderId="0" xfId="0" applyNumberFormat="1" applyFont="1" applyFill="1"/>
    <xf numFmtId="0" fontId="8" fillId="4" borderId="5" xfId="0" applyFont="1" applyFill="1" applyBorder="1"/>
    <xf numFmtId="0" fontId="8" fillId="4" borderId="5" xfId="0" applyFont="1" applyFill="1" applyBorder="1" applyAlignment="1">
      <alignment horizontal="fill"/>
    </xf>
    <xf numFmtId="165" fontId="8" fillId="6" borderId="17" xfId="2" applyNumberFormat="1" applyFont="1" applyFill="1" applyBorder="1"/>
    <xf numFmtId="1" fontId="8" fillId="5" borderId="17" xfId="0" applyNumberFormat="1" applyFont="1" applyFill="1" applyBorder="1"/>
    <xf numFmtId="2" fontId="8" fillId="6" borderId="17" xfId="0" applyNumberFormat="1" applyFont="1" applyFill="1" applyBorder="1"/>
    <xf numFmtId="0" fontId="8" fillId="4" borderId="0" xfId="0" applyFont="1" applyFill="1" applyAlignment="1">
      <alignment horizontal="center"/>
    </xf>
    <xf numFmtId="0" fontId="17" fillId="4" borderId="0" xfId="1" applyFont="1" applyFill="1" applyBorder="1"/>
    <xf numFmtId="0" fontId="8" fillId="4" borderId="5" xfId="0" applyFont="1" applyFill="1" applyBorder="1" applyAlignment="1">
      <alignment horizontal="center"/>
    </xf>
    <xf numFmtId="1" fontId="8" fillId="4" borderId="0" xfId="0" applyNumberFormat="1" applyFont="1" applyFill="1"/>
    <xf numFmtId="3" fontId="8" fillId="4" borderId="0" xfId="0" applyNumberFormat="1" applyFont="1" applyFill="1" applyAlignment="1">
      <alignment horizontal="left"/>
    </xf>
    <xf numFmtId="0" fontId="8" fillId="5" borderId="17" xfId="0" applyFont="1" applyFill="1" applyBorder="1"/>
    <xf numFmtId="165" fontId="9" fillId="0" borderId="0" xfId="2" applyNumberFormat="1" applyFont="1"/>
    <xf numFmtId="0" fontId="8" fillId="4" borderId="4" xfId="0" applyFont="1" applyFill="1" applyBorder="1" applyAlignment="1">
      <alignment vertical="top"/>
    </xf>
    <xf numFmtId="0" fontId="8" fillId="4" borderId="0" xfId="0" applyFont="1" applyFill="1" applyAlignment="1">
      <alignment wrapText="1"/>
    </xf>
    <xf numFmtId="166" fontId="8" fillId="5" borderId="17" xfId="3" applyNumberFormat="1" applyFont="1" applyFill="1" applyBorder="1"/>
    <xf numFmtId="0" fontId="5" fillId="0" borderId="0" xfId="1"/>
    <xf numFmtId="14" fontId="8" fillId="4" borderId="16" xfId="0" applyNumberFormat="1" applyFont="1" applyFill="1" applyBorder="1"/>
    <xf numFmtId="0" fontId="8" fillId="4" borderId="7" xfId="0" applyFont="1" applyFill="1" applyBorder="1" applyAlignment="1">
      <alignment horizontal="center"/>
    </xf>
    <xf numFmtId="0" fontId="8" fillId="5" borderId="20" xfId="0" applyFont="1" applyFill="1" applyBorder="1"/>
    <xf numFmtId="0" fontId="8" fillId="4" borderId="16" xfId="0" applyFont="1" applyFill="1" applyBorder="1"/>
    <xf numFmtId="0" fontId="8" fillId="4" borderId="7" xfId="0" applyFont="1" applyFill="1" applyBorder="1"/>
    <xf numFmtId="165" fontId="8" fillId="5" borderId="17" xfId="2" applyNumberFormat="1" applyFont="1" applyFill="1" applyBorder="1"/>
    <xf numFmtId="3" fontId="8" fillId="5" borderId="17" xfId="0" applyNumberFormat="1" applyFont="1" applyFill="1" applyBorder="1"/>
    <xf numFmtId="0" fontId="20" fillId="3" borderId="1" xfId="0" applyFont="1" applyFill="1" applyBorder="1" applyAlignment="1">
      <alignment horizontal="center"/>
    </xf>
    <xf numFmtId="0" fontId="8" fillId="4" borderId="4" xfId="0" applyFont="1" applyFill="1" applyBorder="1" applyAlignment="1">
      <alignment horizontal="left"/>
    </xf>
    <xf numFmtId="0" fontId="8" fillId="5" borderId="19" xfId="0" applyFont="1" applyFill="1" applyBorder="1"/>
    <xf numFmtId="0" fontId="0" fillId="4" borderId="0" xfId="0" applyFill="1" applyAlignment="1">
      <alignment horizontal="right"/>
    </xf>
    <xf numFmtId="0" fontId="8" fillId="4" borderId="0" xfId="0" applyFont="1" applyFill="1" applyAlignment="1">
      <alignment horizontal="right"/>
    </xf>
    <xf numFmtId="2" fontId="0" fillId="6" borderId="21" xfId="0" applyNumberFormat="1" applyFill="1" applyBorder="1"/>
    <xf numFmtId="0" fontId="8" fillId="5" borderId="21" xfId="0" applyFont="1" applyFill="1" applyBorder="1"/>
    <xf numFmtId="3" fontId="8" fillId="5" borderId="21" xfId="0" applyNumberFormat="1" applyFont="1" applyFill="1" applyBorder="1"/>
    <xf numFmtId="2" fontId="0" fillId="6" borderId="22" xfId="0" applyNumberFormat="1" applyFill="1" applyBorder="1"/>
    <xf numFmtId="0" fontId="8" fillId="5" borderId="22" xfId="0" applyFont="1" applyFill="1" applyBorder="1"/>
    <xf numFmtId="3" fontId="8" fillId="5" borderId="22" xfId="0" applyNumberFormat="1" applyFont="1" applyFill="1" applyBorder="1"/>
    <xf numFmtId="3" fontId="0" fillId="0" borderId="17" xfId="0" applyNumberFormat="1" applyBorder="1" applyAlignment="1">
      <alignment horizontal="center"/>
    </xf>
  </cellXfs>
  <cellStyles count="4">
    <cellStyle name="Hyperkobling" xfId="1" builtinId="8"/>
    <cellStyle name="Komma" xfId="2" builtinId="3"/>
    <cellStyle name="Normal" xfId="0" builtinId="0"/>
    <cellStyle name="Prosent" xfId="3" builtinId="5"/>
  </cellStyles>
  <dxfs count="0"/>
  <tableStyles count="0" defaultTableStyle="TableStyleMedium2" defaultPivotStyle="PivotStyleLight16"/>
  <colors>
    <mruColors>
      <color rgb="FF71C6D1"/>
      <color rgb="FFFFFF99"/>
      <color rgb="FFADDFE4"/>
      <color rgb="FFD6EFF2"/>
      <color rgb="FF6EF5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190499</xdr:rowOff>
    </xdr:from>
    <xdr:ext cx="5428826" cy="1143001"/>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762000" y="1559718"/>
          <a:ext cx="5428826" cy="1143001"/>
        </a:xfrm>
        <a:prstGeom prst="rect">
          <a:avLst/>
        </a:prstGeom>
        <a:solidFill>
          <a:srgbClr val="71C6D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600" b="1">
              <a:latin typeface="+mn-lt"/>
            </a:rPr>
            <a:t>Informasjon</a:t>
          </a:r>
        </a:p>
        <a:p>
          <a:endParaRPr lang="nb-NO" sz="1100">
            <a:latin typeface="+mn-lt"/>
          </a:endParaRPr>
        </a:p>
        <a:p>
          <a:r>
            <a:rPr lang="nb-NO" sz="1100">
              <a:latin typeface="+mn-lt"/>
            </a:rPr>
            <a:t>Dette regnearket inneholder informasjon som kan brukes av Direktoratet</a:t>
          </a:r>
          <a:r>
            <a:rPr lang="nb-NO" sz="1100" baseline="0">
              <a:latin typeface="+mn-lt"/>
            </a:rPr>
            <a:t> for Medisinske Produkter</a:t>
          </a:r>
          <a:r>
            <a:rPr lang="nb-NO" sz="1100">
              <a:latin typeface="+mn-lt"/>
            </a:rPr>
            <a:t> og eksterne. Informasjon vil bli oppdatert med jevne mellomrom, og siste versjon ligger alltid tilgjengelig på nett.</a:t>
          </a:r>
        </a:p>
      </xdr:txBody>
    </xdr:sp>
    <xdr:clientData/>
  </xdr:oneCellAnchor>
  <xdr:twoCellAnchor editAs="oneCell">
    <xdr:from>
      <xdr:col>3</xdr:col>
      <xdr:colOff>660400</xdr:colOff>
      <xdr:row>2</xdr:row>
      <xdr:rowOff>76200</xdr:rowOff>
    </xdr:from>
    <xdr:to>
      <xdr:col>17</xdr:col>
      <xdr:colOff>758825</xdr:colOff>
      <xdr:row>38</xdr:row>
      <xdr:rowOff>155925</xdr:rowOff>
    </xdr:to>
    <xdr:pic>
      <xdr:nvPicPr>
        <xdr:cNvPr id="5" name="Bilde 4">
          <a:extLst>
            <a:ext uri="{FF2B5EF4-FFF2-40B4-BE49-F238E27FC236}">
              <a16:creationId xmlns:a16="http://schemas.microsoft.com/office/drawing/2014/main" id="{8712EF86-FE16-6BF1-1437-FC0749F284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0" y="431800"/>
          <a:ext cx="11506200" cy="6912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761999</xdr:colOff>
      <xdr:row>2</xdr:row>
      <xdr:rowOff>0</xdr:rowOff>
    </xdr:from>
    <xdr:ext cx="13868401" cy="1133475"/>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761999" y="381000"/>
          <a:ext cx="13868401" cy="1133475"/>
        </a:xfrm>
        <a:prstGeom prst="rect">
          <a:avLst/>
        </a:prstGeom>
        <a:solidFill>
          <a:srgbClr val="71C6D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600" b="1">
              <a:latin typeface="+mn-lt"/>
            </a:rPr>
            <a:t>Informasjon</a:t>
          </a:r>
        </a:p>
        <a:p>
          <a:r>
            <a:rPr lang="nb-NO" sz="1100">
              <a:latin typeface="+mn-lt"/>
            </a:rPr>
            <a:t>Alle</a:t>
          </a:r>
          <a:r>
            <a:rPr lang="nb-NO" sz="1100" baseline="0">
              <a:latin typeface="+mn-lt"/>
            </a:rPr>
            <a:t> endringer i regnearket blir dokumentert i denne endringsloggen. Hvem som har hatt ansvar for endringen, når den nye versjonen er publisert og hvilke endringer som er gjort. </a:t>
          </a:r>
        </a:p>
        <a:p>
          <a:endParaRPr lang="nb-NO" sz="110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aseline="0">
              <a:latin typeface="+mn-lt"/>
            </a:rPr>
            <a:t>Versjonsnummeret indikerer hvor store endringer som er gjennomført. </a:t>
          </a:r>
          <a:r>
            <a:rPr lang="nb-NO" sz="1100" b="0" i="0" baseline="0">
              <a:solidFill>
                <a:schemeClr val="tx1"/>
              </a:solidFill>
              <a:effectLst/>
              <a:latin typeface="+mn-lt"/>
              <a:ea typeface="+mn-ea"/>
              <a:cs typeface="+mn-cs"/>
            </a:rPr>
            <a:t>Hvis det gjøres endringer i verktøyet som ikke påvirker beregningene (tekst/design osv.) merkes det med versjonsnummer 1.01, 1.02 osv. Hvis det gjøres endringer som påvirker beregningsresultatet endres versjonsnummeret med 1.1, 1.2 osv. Når det gjøres en større endring eller revidering skal selve versjonen endres til 2, 3, 4 osv. </a:t>
          </a:r>
          <a:endParaRPr lang="nb-NO">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xdr:colOff>
      <xdr:row>2</xdr:row>
      <xdr:rowOff>1</xdr:rowOff>
    </xdr:from>
    <xdr:ext cx="8515350" cy="571500"/>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762001" y="381001"/>
          <a:ext cx="8515350" cy="571500"/>
        </a:xfrm>
        <a:prstGeom prst="rect">
          <a:avLst/>
        </a:prstGeom>
        <a:solidFill>
          <a:srgbClr val="71C6D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600" b="1">
              <a:latin typeface="+mn-lt"/>
            </a:rPr>
            <a:t>Informasjon</a:t>
          </a:r>
        </a:p>
        <a:p>
          <a:pPr marL="0" marR="0" lvl="0" indent="0" defTabSz="914400" eaLnBrk="1" fontAlgn="auto" latinLnBrk="0" hangingPunct="1">
            <a:lnSpc>
              <a:spcPct val="100000"/>
            </a:lnSpc>
            <a:spcBef>
              <a:spcPts val="0"/>
            </a:spcBef>
            <a:spcAft>
              <a:spcPts val="0"/>
            </a:spcAft>
            <a:buClrTx/>
            <a:buSzTx/>
            <a:buFontTx/>
            <a:buNone/>
            <a:tabLst/>
            <a:defRPr/>
          </a:pPr>
          <a:r>
            <a:rPr lang="nb-NO" sz="1100" b="0" i="0">
              <a:solidFill>
                <a:schemeClr val="tx1"/>
              </a:solidFill>
              <a:effectLst/>
              <a:latin typeface="+mn-lt"/>
              <a:ea typeface="+mn-ea"/>
              <a:cs typeface="+mn-cs"/>
            </a:rPr>
            <a:t>Alle kilder som benyttes ligger her</a:t>
          </a:r>
          <a:endParaRPr lang="nb-NO" sz="1600">
            <a:effectLst/>
          </a:endParaRPr>
        </a:p>
        <a:p>
          <a:endParaRPr lang="nb-NO" sz="1600" b="1">
            <a:latin typeface="+mn-lt"/>
          </a:endParaRPr>
        </a:p>
        <a:p>
          <a:endParaRPr lang="nb-NO" sz="1600" b="1">
            <a:latin typeface="+mn-l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3</xdr:row>
      <xdr:rowOff>0</xdr:rowOff>
    </xdr:from>
    <xdr:ext cx="8515350" cy="571500"/>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5305425" y="581025"/>
          <a:ext cx="8515350" cy="571500"/>
        </a:xfrm>
        <a:prstGeom prst="rect">
          <a:avLst/>
        </a:prstGeom>
        <a:solidFill>
          <a:srgbClr val="71C6D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600" b="1">
              <a:latin typeface="+mn-lt"/>
            </a:rPr>
            <a:t>Informasjon</a:t>
          </a:r>
        </a:p>
        <a:p>
          <a:r>
            <a:rPr lang="nb-NO" sz="1100" b="0">
              <a:latin typeface="+mn-lt"/>
            </a:rPr>
            <a:t>Enhetskostnader</a:t>
          </a:r>
          <a:r>
            <a:rPr lang="nb-NO" sz="1100" b="0" baseline="0">
              <a:latin typeface="+mn-lt"/>
            </a:rPr>
            <a:t> som kan benyttes i metodevurdering av legemidler</a:t>
          </a:r>
          <a:endParaRPr lang="nb-NO" sz="1100" b="0">
            <a:latin typeface="+mn-lt"/>
          </a:endParaRPr>
        </a:p>
        <a:p>
          <a:endParaRPr lang="nb-NO" sz="1600" b="1">
            <a:latin typeface="+mn-lt"/>
          </a:endParaRPr>
        </a:p>
        <a:p>
          <a:endParaRPr lang="nb-NO" sz="1600" b="1">
            <a:latin typeface="+mn-l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1559718</xdr:colOff>
      <xdr:row>1</xdr:row>
      <xdr:rowOff>0</xdr:rowOff>
    </xdr:from>
    <xdr:ext cx="9953626" cy="738188"/>
    <xdr:sp macro="" textlink="">
      <xdr:nvSpPr>
        <xdr:cNvPr id="2" name="TekstSylinder 1">
          <a:extLst>
            <a:ext uri="{FF2B5EF4-FFF2-40B4-BE49-F238E27FC236}">
              <a16:creationId xmlns:a16="http://schemas.microsoft.com/office/drawing/2014/main" id="{00000000-0008-0000-0500-000002000000}"/>
            </a:ext>
          </a:extLst>
        </xdr:cNvPr>
        <xdr:cNvSpPr txBox="1"/>
      </xdr:nvSpPr>
      <xdr:spPr>
        <a:xfrm>
          <a:off x="1559718" y="190500"/>
          <a:ext cx="9953626" cy="738188"/>
        </a:xfrm>
        <a:prstGeom prst="rect">
          <a:avLst/>
        </a:prstGeom>
        <a:solidFill>
          <a:srgbClr val="71C6D1"/>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600" b="1">
              <a:latin typeface="+mn-lt"/>
            </a:rPr>
            <a:t>Informasjon</a:t>
          </a: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De standardsatsene som blir</a:t>
          </a:r>
          <a:r>
            <a:rPr lang="nb-NO" sz="1100" baseline="0">
              <a:solidFill>
                <a:schemeClr val="tx1"/>
              </a:solidFill>
              <a:effectLst/>
              <a:latin typeface="+mn-lt"/>
              <a:ea typeface="+mn-ea"/>
              <a:cs typeface="+mn-cs"/>
            </a:rPr>
            <a:t> beregnet ved hjelp av flere ulike forutsetninger og mellomregninger blir beregnet i denne arkfanen. </a:t>
          </a:r>
          <a:endParaRPr lang="nb-NO" sz="1600" b="1">
            <a:latin typeface="+mn-lt"/>
          </a:endParaRPr>
        </a:p>
        <a:p>
          <a:endParaRPr lang="nb-NO" sz="1600" b="1">
            <a:latin typeface="+mn-lt"/>
          </a:endParaRPr>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helsedirektoratet.no/tema/finansiering/innsatsstyrt-finansiering-og-drg-systemet/innsatsstyrt-finansiering-isf" TargetMode="External"/><Relationship Id="rId13" Type="http://schemas.openxmlformats.org/officeDocument/2006/relationships/hyperlink" Target="https://www.norges-bank.no/tema/Statistikk/Inflasjon/" TargetMode="External"/><Relationship Id="rId18" Type="http://schemas.openxmlformats.org/officeDocument/2006/relationships/hyperlink" Target="https://dfo.no/fagomrader/utredning-og-analyse-av-statlige-tiltak/samfunnsokonomiske-analyser/veileder-i-samfunnsokonomiske-analyser" TargetMode="External"/><Relationship Id="rId3" Type="http://schemas.openxmlformats.org/officeDocument/2006/relationships/hyperlink" Target="https://www.ssb.no/statbank/table/09842" TargetMode="External"/><Relationship Id="rId7" Type="http://schemas.openxmlformats.org/officeDocument/2006/relationships/hyperlink" Target="https://www.regjeringen.no/contentassets/91bdfca9231d45408e8107a703fee790/no/pdfs/stm202020210014000dddpdfs.pdf" TargetMode="External"/><Relationship Id="rId12" Type="http://schemas.openxmlformats.org/officeDocument/2006/relationships/hyperlink" Target="file://slvfs002/homes$/maner/Downloads/13054_2017_1792_MOESM2_ESM.pdf" TargetMode="External"/><Relationship Id="rId17" Type="http://schemas.openxmlformats.org/officeDocument/2006/relationships/hyperlink" Target="https://www.dmp.no/offentlig-finansiering/metodevurdering-av-legemidler/dokumentasjon-for-metodevurdering/retningslinjer-for-dokumentasjonsgrunnlag-for-hurtig-metodevurdering-av-legemidler" TargetMode="External"/><Relationship Id="rId2" Type="http://schemas.openxmlformats.org/officeDocument/2006/relationships/hyperlink" Target="https://www.ssb.no/kpi" TargetMode="External"/><Relationship Id="rId16" Type="http://schemas.openxmlformats.org/officeDocument/2006/relationships/hyperlink" Target="https://www.helsedirektoratet.no/rapporter/samfunnsokonomisk-vurdering-av-smitteverntiltak-covid-19/Samfunns%C3%B8konomiske%20virkninger%20smitteverntiltak%20covid-19.pdf/_/attachment/inline/cf0faf7e-1789-4183-968b-7f230d20b63f:5a06ef046ea00a0ec3881f42eae60fb722621525/Samfunns%C3%B8konomisk%20vurdering%20av%20smitteverntiltak%20-%20covid-19.pdf" TargetMode="External"/><Relationship Id="rId20" Type="http://schemas.openxmlformats.org/officeDocument/2006/relationships/drawing" Target="../drawings/drawing3.xml"/><Relationship Id="rId1" Type="http://schemas.openxmlformats.org/officeDocument/2006/relationships/hyperlink" Target="https://www.regjeringen.no/no/dokumenter/nou-2012-16/id700821/?ch=1&amp;q=" TargetMode="External"/><Relationship Id="rId6" Type="http://schemas.openxmlformats.org/officeDocument/2006/relationships/hyperlink" Target="https://normaltariffen.legeforeningen.no/asset/pdf/Fastlegetariffen-2019-2020.pdf" TargetMode="External"/><Relationship Id="rId11" Type="http://schemas.openxmlformats.org/officeDocument/2006/relationships/hyperlink" Target="https://www.ncbi.nlm.nih.gov/pubmed/28830479" TargetMode="External"/><Relationship Id="rId5" Type="http://schemas.openxmlformats.org/officeDocument/2006/relationships/hyperlink" Target="https://www.ssb.no/statbank/table/11418/" TargetMode="External"/><Relationship Id="rId15" Type="http://schemas.openxmlformats.org/officeDocument/2006/relationships/hyperlink" Target="https://www.dmp.no/offentlig-finansiering/metodevurdering-av-legemidler/dokumentasjon-for-metodevurdering/enhetskostnadsdatabase" TargetMode="External"/><Relationship Id="rId10" Type="http://schemas.openxmlformats.org/officeDocument/2006/relationships/hyperlink" Target="https://www.legeforeningen.no/contentassets/7adf34e1e0ee49b6bf10d525b417b4a4/kommentarutgaven-til-normaltariffen-2019-2020.pdf" TargetMode="External"/><Relationship Id="rId19" Type="http://schemas.openxmlformats.org/officeDocument/2006/relationships/printerSettings" Target="../printerSettings/printerSettings3.bin"/><Relationship Id="rId4" Type="http://schemas.openxmlformats.org/officeDocument/2006/relationships/hyperlink" Target="https://www.regjeringen.no/globalassets/upload/fin/vedlegg/okstyring/rundskriv/faste/r_109_2014.pdf" TargetMode="External"/><Relationship Id="rId9" Type="http://schemas.openxmlformats.org/officeDocument/2006/relationships/hyperlink" Target="https://www.ssb.no/arbeid-og-lonn/statistikker/lonnansatt" TargetMode="External"/><Relationship Id="rId14" Type="http://schemas.openxmlformats.org/officeDocument/2006/relationships/hyperlink" Target="https://www.skatteetaten.no/satser/arbeidsgiveravgif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DFE4"/>
  </sheetPr>
  <dimension ref="B3:D23"/>
  <sheetViews>
    <sheetView showGridLines="0" zoomScale="80" zoomScaleNormal="80" workbookViewId="0">
      <selection activeCell="B5" sqref="B5"/>
    </sheetView>
  </sheetViews>
  <sheetFormatPr defaultColWidth="11.42578125" defaultRowHeight="14.45"/>
  <cols>
    <col min="2" max="2" width="54.28515625" customWidth="1"/>
    <col min="3" max="3" width="77.42578125" bestFit="1" customWidth="1"/>
  </cols>
  <sheetData>
    <row r="3" spans="2:4" ht="15" thickBot="1"/>
    <row r="4" spans="2:4" ht="31.5" thickBot="1">
      <c r="B4" s="201" t="s">
        <v>0</v>
      </c>
    </row>
    <row r="12" spans="2:4">
      <c r="D12" s="1"/>
    </row>
    <row r="15" spans="2:4" ht="15" thickBot="1"/>
    <row r="16" spans="2:4" ht="23.45">
      <c r="B16" s="13" t="s">
        <v>1</v>
      </c>
      <c r="C16" s="2"/>
    </row>
    <row r="17" spans="2:3">
      <c r="B17" s="167" t="s">
        <v>2</v>
      </c>
      <c r="C17" s="4" t="s">
        <v>3</v>
      </c>
    </row>
    <row r="18" spans="2:3">
      <c r="B18" s="167" t="s">
        <v>4</v>
      </c>
      <c r="C18" s="4" t="s">
        <v>5</v>
      </c>
    </row>
    <row r="19" spans="2:3">
      <c r="B19" s="167" t="s">
        <v>6</v>
      </c>
      <c r="C19" s="4" t="s">
        <v>7</v>
      </c>
    </row>
    <row r="20" spans="2:3">
      <c r="B20" s="167" t="s">
        <v>8</v>
      </c>
      <c r="C20" s="4" t="s">
        <v>9</v>
      </c>
    </row>
    <row r="21" spans="2:3">
      <c r="B21" s="167" t="s">
        <v>10</v>
      </c>
      <c r="C21" s="166" t="s">
        <v>11</v>
      </c>
    </row>
    <row r="22" spans="2:3">
      <c r="B22" s="167" t="s">
        <v>12</v>
      </c>
      <c r="C22" s="166" t="s">
        <v>13</v>
      </c>
    </row>
    <row r="23" spans="2:3" ht="15" thickBot="1">
      <c r="B23" s="168" t="s">
        <v>14</v>
      </c>
      <c r="C23" s="5" t="s">
        <v>15</v>
      </c>
    </row>
  </sheetData>
  <hyperlinks>
    <hyperlink ref="B17" location="'0.1 Innhold og struktur'!A1" display="0.1 Innhold og struktur" xr:uid="{00000000-0004-0000-0000-000000000000}"/>
    <hyperlink ref="B18" location="'0.2 Endringslogg'!A1" display="0.2 Endringslogg" xr:uid="{00000000-0004-0000-0000-000001000000}"/>
    <hyperlink ref="B19" location="'0.3 Kilder'!A1" display="0.3 Kilder" xr:uid="{00000000-0004-0000-0000-000002000000}"/>
    <hyperlink ref="B20" location="'1.1 Enhetskostnader'!A1" display="1.1 Enhetskostnader" xr:uid="{00000000-0004-0000-0000-000003000000}"/>
    <hyperlink ref="B21" location="'1.2 Forutsetninger'!A1" display="1.2 Forutsetninger" xr:uid="{00000000-0004-0000-0000-000004000000}"/>
    <hyperlink ref="B22" location="'Enhetskostnader-Forutsetninger'!A1" display="Enhetskostnader-Forutsetninger" xr:uid="{00000000-0004-0000-0000-000005000000}"/>
    <hyperlink ref="B23" location="'Prognoser og indekser'!A1" display="Prognoser og indekser" xr:uid="{00000000-0004-0000-0000-000006000000}"/>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DDFE4"/>
  </sheetPr>
  <dimension ref="B1:F18"/>
  <sheetViews>
    <sheetView showGridLines="0" topLeftCell="A10" zoomScaleNormal="100" workbookViewId="0">
      <selection activeCell="F27" sqref="F27"/>
    </sheetView>
  </sheetViews>
  <sheetFormatPr defaultColWidth="11.42578125" defaultRowHeight="14.45"/>
  <cols>
    <col min="2" max="2" width="23.5703125" style="9" customWidth="1"/>
    <col min="3" max="3" width="11.42578125" style="10"/>
    <col min="4" max="4" width="10" style="10" bestFit="1" customWidth="1"/>
    <col min="5" max="5" width="23.7109375" style="10" customWidth="1"/>
    <col min="6" max="6" width="255.5703125" style="11" bestFit="1" customWidth="1"/>
  </cols>
  <sheetData>
    <row r="1" spans="2:6">
      <c r="B1"/>
      <c r="C1"/>
      <c r="D1"/>
      <c r="E1"/>
      <c r="F1"/>
    </row>
    <row r="2" spans="2:6">
      <c r="B2"/>
      <c r="C2"/>
      <c r="D2"/>
      <c r="E2"/>
      <c r="F2"/>
    </row>
    <row r="3" spans="2:6">
      <c r="B3"/>
      <c r="C3"/>
      <c r="D3"/>
      <c r="E3"/>
      <c r="F3"/>
    </row>
    <row r="4" spans="2:6">
      <c r="B4"/>
      <c r="C4"/>
      <c r="D4"/>
      <c r="E4"/>
      <c r="F4"/>
    </row>
    <row r="5" spans="2:6">
      <c r="B5"/>
      <c r="C5"/>
      <c r="D5"/>
      <c r="E5"/>
      <c r="F5"/>
    </row>
    <row r="6" spans="2:6">
      <c r="B6"/>
      <c r="C6"/>
      <c r="D6"/>
      <c r="E6"/>
      <c r="F6"/>
    </row>
    <row r="7" spans="2:6">
      <c r="B7"/>
      <c r="C7"/>
      <c r="D7"/>
      <c r="E7"/>
      <c r="F7"/>
    </row>
    <row r="8" spans="2:6">
      <c r="B8"/>
      <c r="C8"/>
      <c r="D8"/>
      <c r="E8"/>
      <c r="F8"/>
    </row>
    <row r="9" spans="2:6" ht="15" thickBot="1">
      <c r="B9"/>
      <c r="C9"/>
      <c r="D9"/>
      <c r="E9"/>
      <c r="F9"/>
    </row>
    <row r="10" spans="2:6" ht="21">
      <c r="B10" s="6" t="s">
        <v>16</v>
      </c>
      <c r="C10" s="7"/>
      <c r="D10" s="8"/>
      <c r="E10" s="7"/>
      <c r="F10" s="2"/>
    </row>
    <row r="11" spans="2:6" ht="18.600000000000001">
      <c r="B11" s="14" t="s">
        <v>17</v>
      </c>
      <c r="C11" s="15" t="s">
        <v>18</v>
      </c>
      <c r="D11" s="16" t="s">
        <v>19</v>
      </c>
      <c r="E11" s="15" t="s">
        <v>20</v>
      </c>
      <c r="F11" s="17" t="s">
        <v>21</v>
      </c>
    </row>
    <row r="12" spans="2:6">
      <c r="B12" s="9" t="s">
        <v>22</v>
      </c>
      <c r="C12" s="56">
        <v>44007</v>
      </c>
      <c r="D12" s="204" t="s">
        <v>23</v>
      </c>
      <c r="E12" s="10" t="s">
        <v>24</v>
      </c>
      <c r="F12" s="12" t="s">
        <v>25</v>
      </c>
    </row>
    <row r="13" spans="2:6">
      <c r="B13" s="73" t="s">
        <v>22</v>
      </c>
      <c r="C13" s="177">
        <v>44533</v>
      </c>
      <c r="D13" s="205" t="s">
        <v>26</v>
      </c>
      <c r="E13" s="67" t="s">
        <v>27</v>
      </c>
      <c r="F13" s="179" t="s">
        <v>28</v>
      </c>
    </row>
    <row r="14" spans="2:6">
      <c r="B14" s="73" t="s">
        <v>22</v>
      </c>
      <c r="C14" s="56">
        <v>44582</v>
      </c>
      <c r="D14" s="205" t="s">
        <v>29</v>
      </c>
      <c r="E14" s="67" t="s">
        <v>30</v>
      </c>
      <c r="F14" s="179" t="s">
        <v>31</v>
      </c>
    </row>
    <row r="15" spans="2:6">
      <c r="B15" s="9" t="s">
        <v>32</v>
      </c>
      <c r="C15" s="56">
        <v>44785</v>
      </c>
      <c r="D15" s="205" t="s">
        <v>33</v>
      </c>
      <c r="E15" s="67" t="s">
        <v>34</v>
      </c>
      <c r="F15" s="179" t="s">
        <v>35</v>
      </c>
    </row>
    <row r="16" spans="2:6">
      <c r="B16" s="9" t="s">
        <v>36</v>
      </c>
      <c r="C16" s="56">
        <v>45328</v>
      </c>
      <c r="D16" s="204" t="s">
        <v>37</v>
      </c>
      <c r="E16" s="10" t="s">
        <v>38</v>
      </c>
      <c r="F16" s="11" t="s">
        <v>39</v>
      </c>
    </row>
    <row r="17" spans="2:6">
      <c r="B17" s="9" t="s">
        <v>40</v>
      </c>
      <c r="C17" s="56">
        <v>45608</v>
      </c>
      <c r="D17" s="204" t="s">
        <v>41</v>
      </c>
      <c r="E17" s="10" t="s">
        <v>42</v>
      </c>
      <c r="F17" s="11" t="s">
        <v>43</v>
      </c>
    </row>
    <row r="18" spans="2:6">
      <c r="B18" s="9" t="s">
        <v>40</v>
      </c>
      <c r="C18" s="56">
        <v>45833</v>
      </c>
      <c r="D18" s="204" t="s">
        <v>44</v>
      </c>
      <c r="E18" s="10" t="s">
        <v>0</v>
      </c>
      <c r="F18" s="11" t="s">
        <v>45</v>
      </c>
    </row>
  </sheetData>
  <phoneticPr fontId="18" type="noConversion"/>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DDFE4"/>
  </sheetPr>
  <dimension ref="B1:E26"/>
  <sheetViews>
    <sheetView showGridLines="0" zoomScaleNormal="100" workbookViewId="0">
      <pane ySplit="8" topLeftCell="A19" activePane="bottomLeft" state="frozen"/>
      <selection pane="bottomLeft" activeCell="E27" sqref="E27"/>
    </sheetView>
  </sheetViews>
  <sheetFormatPr defaultColWidth="11.42578125" defaultRowHeight="14.45"/>
  <cols>
    <col min="2" max="2" width="41.5703125" style="9" customWidth="1"/>
    <col min="3" max="3" width="75.140625" style="10" bestFit="1" customWidth="1"/>
    <col min="4" max="4" width="77.85546875" style="10" bestFit="1" customWidth="1"/>
    <col min="5" max="5" width="59.5703125" style="11" bestFit="1" customWidth="1"/>
  </cols>
  <sheetData>
    <row r="1" spans="2:5">
      <c r="B1"/>
      <c r="C1"/>
      <c r="D1"/>
      <c r="E1"/>
    </row>
    <row r="2" spans="2:5">
      <c r="B2"/>
      <c r="C2"/>
      <c r="D2"/>
      <c r="E2"/>
    </row>
    <row r="3" spans="2:5">
      <c r="B3"/>
      <c r="C3"/>
      <c r="D3"/>
      <c r="E3"/>
    </row>
    <row r="4" spans="2:5">
      <c r="B4"/>
      <c r="C4"/>
      <c r="D4"/>
      <c r="E4"/>
    </row>
    <row r="5" spans="2:5">
      <c r="B5"/>
      <c r="C5"/>
      <c r="D5"/>
      <c r="E5"/>
    </row>
    <row r="6" spans="2:5" ht="15" thickBot="1">
      <c r="B6"/>
      <c r="C6"/>
      <c r="D6"/>
      <c r="E6"/>
    </row>
    <row r="7" spans="2:5" ht="21">
      <c r="B7" s="18" t="s">
        <v>46</v>
      </c>
      <c r="C7" s="7"/>
      <c r="D7" s="7"/>
      <c r="E7" s="2"/>
    </row>
    <row r="8" spans="2:5" ht="18.600000000000001">
      <c r="B8" s="19" t="s">
        <v>47</v>
      </c>
      <c r="C8" s="20" t="s">
        <v>48</v>
      </c>
      <c r="D8" s="20" t="s">
        <v>49</v>
      </c>
      <c r="E8" s="21" t="s">
        <v>50</v>
      </c>
    </row>
    <row r="9" spans="2:5">
      <c r="B9" s="9" t="s">
        <v>51</v>
      </c>
      <c r="C9" s="10" t="s">
        <v>52</v>
      </c>
      <c r="D9" s="57" t="s">
        <v>53</v>
      </c>
    </row>
    <row r="10" spans="2:5">
      <c r="B10" s="73" t="s">
        <v>54</v>
      </c>
      <c r="C10" s="67" t="s">
        <v>55</v>
      </c>
      <c r="D10" s="57" t="s">
        <v>56</v>
      </c>
    </row>
    <row r="11" spans="2:5">
      <c r="B11" s="9" t="s">
        <v>57</v>
      </c>
      <c r="C11" s="10" t="s">
        <v>58</v>
      </c>
      <c r="D11" s="174" t="s">
        <v>59</v>
      </c>
    </row>
    <row r="12" spans="2:5">
      <c r="B12" s="9" t="s">
        <v>60</v>
      </c>
      <c r="C12" s="138" t="s">
        <v>61</v>
      </c>
      <c r="D12" s="57" t="s">
        <v>62</v>
      </c>
    </row>
    <row r="13" spans="2:5">
      <c r="B13" s="9" t="s">
        <v>60</v>
      </c>
      <c r="C13" s="138" t="s">
        <v>63</v>
      </c>
      <c r="D13" s="57" t="s">
        <v>64</v>
      </c>
    </row>
    <row r="14" spans="2:5">
      <c r="B14" s="9" t="s">
        <v>65</v>
      </c>
      <c r="C14" s="138" t="s">
        <v>66</v>
      </c>
      <c r="D14" s="57" t="s">
        <v>67</v>
      </c>
    </row>
    <row r="15" spans="2:5">
      <c r="B15" s="9" t="s">
        <v>68</v>
      </c>
      <c r="C15" s="138" t="s">
        <v>69</v>
      </c>
      <c r="D15" s="57" t="s">
        <v>70</v>
      </c>
    </row>
    <row r="16" spans="2:5">
      <c r="B16" s="9" t="s">
        <v>71</v>
      </c>
      <c r="C16" s="138" t="s">
        <v>72</v>
      </c>
      <c r="D16" s="57" t="s">
        <v>73</v>
      </c>
    </row>
    <row r="17" spans="2:5">
      <c r="B17" s="9" t="s">
        <v>74</v>
      </c>
      <c r="C17" s="10" t="s">
        <v>75</v>
      </c>
      <c r="D17" s="57" t="s">
        <v>76</v>
      </c>
    </row>
    <row r="18" spans="2:5">
      <c r="B18" s="104" t="s">
        <v>77</v>
      </c>
      <c r="C18" s="105" t="s">
        <v>78</v>
      </c>
      <c r="D18" s="106" t="s">
        <v>79</v>
      </c>
    </row>
    <row r="19" spans="2:5">
      <c r="B19" s="190" t="s">
        <v>80</v>
      </c>
      <c r="C19" s="191" t="s">
        <v>81</v>
      </c>
      <c r="D19" s="106" t="s">
        <v>82</v>
      </c>
      <c r="E19" s="11" t="str">
        <f>""</f>
        <v/>
      </c>
    </row>
    <row r="20" spans="2:5">
      <c r="B20" s="104" t="s">
        <v>83</v>
      </c>
      <c r="C20" s="105" t="s">
        <v>84</v>
      </c>
      <c r="D20" s="106" t="s">
        <v>85</v>
      </c>
    </row>
    <row r="21" spans="2:5">
      <c r="B21" s="9" t="s">
        <v>86</v>
      </c>
      <c r="C21" s="10" t="s">
        <v>87</v>
      </c>
      <c r="D21" s="106" t="s">
        <v>88</v>
      </c>
    </row>
    <row r="22" spans="2:5">
      <c r="B22" s="9" t="s">
        <v>89</v>
      </c>
      <c r="C22" s="10" t="s">
        <v>90</v>
      </c>
      <c r="D22" s="57" t="s">
        <v>91</v>
      </c>
      <c r="E22" s="89"/>
    </row>
    <row r="23" spans="2:5" ht="29.1">
      <c r="B23" s="99" t="s">
        <v>92</v>
      </c>
      <c r="C23" s="92" t="s">
        <v>93</v>
      </c>
      <c r="D23" s="116" t="s">
        <v>94</v>
      </c>
      <c r="E23" s="100" t="s">
        <v>95</v>
      </c>
    </row>
    <row r="24" spans="2:5">
      <c r="B24" s="9" t="s">
        <v>92</v>
      </c>
      <c r="C24" s="10" t="s">
        <v>96</v>
      </c>
      <c r="D24" s="57" t="s">
        <v>97</v>
      </c>
    </row>
    <row r="25" spans="2:5">
      <c r="B25" s="9" t="s">
        <v>98</v>
      </c>
      <c r="C25" s="10" t="s">
        <v>99</v>
      </c>
      <c r="D25" s="57" t="s">
        <v>100</v>
      </c>
    </row>
    <row r="26" spans="2:5">
      <c r="B26" s="9" t="s">
        <v>98</v>
      </c>
      <c r="C26" s="10" t="s">
        <v>101</v>
      </c>
      <c r="D26" s="57" t="s">
        <v>102</v>
      </c>
      <c r="E26" s="11" t="s">
        <v>103</v>
      </c>
    </row>
  </sheetData>
  <hyperlinks>
    <hyperlink ref="D17" r:id="rId1" xr:uid="{00000000-0004-0000-0200-000000000000}"/>
    <hyperlink ref="D25" r:id="rId2" xr:uid="{00000000-0004-0000-0200-000001000000}"/>
    <hyperlink ref="D26" r:id="rId3" xr:uid="{00000000-0004-0000-0200-000002000000}"/>
    <hyperlink ref="D18" r:id="rId4" xr:uid="{00000000-0004-0000-0200-000003000000}"/>
    <hyperlink ref="D23" r:id="rId5" xr:uid="{00000000-0004-0000-0200-000004000000}"/>
    <hyperlink ref="D12" r:id="rId6" xr:uid="{00000000-0004-0000-0200-000005000000}"/>
    <hyperlink ref="D19" r:id="rId7" xr:uid="{00000000-0004-0000-0200-000006000000}"/>
    <hyperlink ref="D10" r:id="rId8" xr:uid="{00000000-0004-0000-0200-000008000000}"/>
    <hyperlink ref="D24" r:id="rId9" xr:uid="{00000000-0004-0000-0200-000009000000}"/>
    <hyperlink ref="D13" r:id="rId10" xr:uid="{00000000-0004-0000-0200-00000A000000}"/>
    <hyperlink ref="D14" r:id="rId11" xr:uid="{00000000-0004-0000-0200-00000B000000}"/>
    <hyperlink ref="D15" r:id="rId12" xr:uid="{00000000-0004-0000-0200-00000C000000}"/>
    <hyperlink ref="D16" r:id="rId13" xr:uid="{00000000-0004-0000-0200-00000D000000}"/>
    <hyperlink ref="D20" r:id="rId14" xr:uid="{00000000-0004-0000-0200-00000E000000}"/>
    <hyperlink ref="D22" r:id="rId15" xr:uid="{00000000-0004-0000-0200-000010000000}"/>
    <hyperlink ref="D11" r:id="rId16" display="https://www.helsedirektoratet.no/rapporter/samfunnsokonomisk-vurdering-av-smitteverntiltak-covid-19/Samfunns%C3%B8konomiske%20virkninger%20smitteverntiltak%20covid-19.pdf/_/attachment/inline/cf0faf7e-1789-4183-968b-7f230d20b63f:5a06ef046ea00a0ec3881f42eae60fb722621525/Samfunns%C3%B8konomisk%20vurdering%20av%20smitteverntiltak%20-%20covid-19.pdf" xr:uid="{C34A2DC8-E911-4227-99C6-C220A6547D48}"/>
    <hyperlink ref="D21" r:id="rId17" xr:uid="{099BF68E-F1A5-470C-A707-0A2F2EBD6AD8}"/>
    <hyperlink ref="D9" r:id="rId18" xr:uid="{DAC21717-D526-47C5-9A8C-58E9BA6D4F04}"/>
  </hyperlinks>
  <pageMargins left="0.7" right="0.7" top="0.75" bottom="0.75" header="0.3" footer="0.3"/>
  <pageSetup paperSize="9" orientation="portrait" verticalDpi="0" r:id="rId19"/>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1C6D1"/>
  </sheetPr>
  <dimension ref="A3:O60"/>
  <sheetViews>
    <sheetView showGridLines="0" zoomScale="70" zoomScaleNormal="70" workbookViewId="0">
      <pane ySplit="10" topLeftCell="A11" activePane="bottomLeft" state="frozen"/>
      <selection pane="bottomLeft" activeCell="E64" sqref="E64"/>
    </sheetView>
  </sheetViews>
  <sheetFormatPr defaultColWidth="11.42578125" defaultRowHeight="14.45"/>
  <cols>
    <col min="1" max="1" width="39.140625" customWidth="1"/>
    <col min="2" max="2" width="54.42578125" customWidth="1"/>
    <col min="3" max="3" width="14.28515625" style="158" bestFit="1" customWidth="1"/>
    <col min="4" max="4" width="24.5703125" bestFit="1" customWidth="1"/>
    <col min="5" max="5" width="13.5703125" bestFit="1" customWidth="1"/>
    <col min="6" max="6" width="10.42578125" bestFit="1" customWidth="1"/>
    <col min="7" max="7" width="19" bestFit="1" customWidth="1"/>
    <col min="9" max="9" width="40.5703125" bestFit="1" customWidth="1"/>
    <col min="10" max="10" width="21.7109375" style="121" bestFit="1" customWidth="1"/>
    <col min="12" max="12" width="17.85546875" bestFit="1" customWidth="1"/>
    <col min="13" max="13" width="11.42578125" style="93"/>
    <col min="14" max="14" width="13.42578125" customWidth="1"/>
  </cols>
  <sheetData>
    <row r="3" spans="1:14" ht="15" thickBot="1"/>
    <row r="4" spans="1:14" ht="18.600000000000001">
      <c r="A4" s="26" t="s">
        <v>104</v>
      </c>
      <c r="B4" s="2"/>
    </row>
    <row r="5" spans="1:14">
      <c r="A5" s="24" t="s">
        <v>105</v>
      </c>
      <c r="B5" s="22" t="s">
        <v>106</v>
      </c>
    </row>
    <row r="6" spans="1:14" ht="15" thickBot="1">
      <c r="A6" s="25" t="s">
        <v>107</v>
      </c>
      <c r="B6" s="23" t="s">
        <v>108</v>
      </c>
    </row>
    <row r="8" spans="1:14" ht="15" thickBot="1">
      <c r="C8" s="189"/>
    </row>
    <row r="9" spans="1:14" ht="21">
      <c r="B9" s="6" t="s">
        <v>109</v>
      </c>
      <c r="C9" s="159"/>
      <c r="D9" s="7"/>
      <c r="E9" s="7"/>
      <c r="F9" s="7"/>
      <c r="G9" s="2"/>
      <c r="H9" s="27"/>
      <c r="I9" s="6" t="s">
        <v>110</v>
      </c>
      <c r="J9" s="139"/>
      <c r="K9" s="31"/>
      <c r="L9" s="31"/>
      <c r="M9" s="94" t="s">
        <v>111</v>
      </c>
      <c r="N9" s="33"/>
    </row>
    <row r="10" spans="1:14">
      <c r="B10" s="28"/>
      <c r="C10" s="160" t="str">
        <f>CONCATENATE("Sats ("&amp;SisteStatistikkÅr&amp;"-kr) ")</f>
        <v xml:space="preserve">Sats (2024-kr) </v>
      </c>
      <c r="D10" s="66" t="str">
        <f>"Sats ("&amp;G10&amp;")"</f>
        <v>Sats (Opprinnelig kroneår)</v>
      </c>
      <c r="E10" s="37" t="s">
        <v>112</v>
      </c>
      <c r="F10" s="37" t="s">
        <v>113</v>
      </c>
      <c r="G10" s="29" t="s">
        <v>114</v>
      </c>
      <c r="H10" s="27"/>
      <c r="I10" s="28" t="s">
        <v>115</v>
      </c>
      <c r="J10" s="78" t="s">
        <v>116</v>
      </c>
      <c r="K10" s="37" t="s">
        <v>50</v>
      </c>
      <c r="L10" s="37" t="s">
        <v>117</v>
      </c>
      <c r="M10" s="95" t="s">
        <v>118</v>
      </c>
      <c r="N10" s="29" t="s">
        <v>119</v>
      </c>
    </row>
    <row r="11" spans="1:14" ht="18.600000000000001">
      <c r="B11" s="30" t="s">
        <v>120</v>
      </c>
      <c r="C11" s="161"/>
      <c r="D11" s="37"/>
      <c r="E11" s="37"/>
      <c r="F11" s="37"/>
      <c r="G11" s="29"/>
      <c r="H11" s="27"/>
      <c r="I11" s="28"/>
      <c r="J11" s="55"/>
      <c r="K11" s="37"/>
      <c r="L11" s="37"/>
      <c r="M11" s="95"/>
      <c r="N11" s="29"/>
    </row>
    <row r="12" spans="1:14">
      <c r="B12" s="34" t="s">
        <v>121</v>
      </c>
      <c r="C12" s="162"/>
      <c r="D12" s="39"/>
      <c r="E12" s="39"/>
      <c r="F12" s="39"/>
      <c r="G12" s="35"/>
      <c r="I12" s="43"/>
      <c r="J12" s="122"/>
      <c r="K12" s="39"/>
      <c r="L12" s="39"/>
      <c r="M12" s="96"/>
      <c r="N12" s="35"/>
    </row>
    <row r="13" spans="1:14">
      <c r="A13" s="70"/>
      <c r="B13" s="73" t="s">
        <v>122</v>
      </c>
      <c r="C13" s="114">
        <f>D13*E13</f>
        <v>972.45778403057182</v>
      </c>
      <c r="D13" s="91">
        <f>'Enhetskostnader-Forutsetninger'!C10</f>
        <v>701.34712781954886</v>
      </c>
      <c r="E13" s="71">
        <f>1/LOOKUP(G13,StatistikkÅr,BNPIndeks)</f>
        <v>1.3865570207065532</v>
      </c>
      <c r="F13" s="10" t="str">
        <f>'Enhetskostnader-Forutsetninger'!D10</f>
        <v>Kr/time</v>
      </c>
      <c r="G13" s="11">
        <f>'Enhetskostnader-Forutsetninger'!E10</f>
        <v>2019</v>
      </c>
      <c r="I13" s="58" t="s">
        <v>123</v>
      </c>
      <c r="J13" s="123" t="s">
        <v>124</v>
      </c>
      <c r="K13" s="67" t="s">
        <v>125</v>
      </c>
      <c r="L13" s="57" t="s">
        <v>117</v>
      </c>
      <c r="M13" s="56">
        <v>43920</v>
      </c>
      <c r="N13" s="152" t="s">
        <v>126</v>
      </c>
    </row>
    <row r="14" spans="1:14">
      <c r="B14" s="73" t="s">
        <v>127</v>
      </c>
      <c r="C14" s="114">
        <f>D14*E14</f>
        <v>1176.4515557978143</v>
      </c>
      <c r="D14" s="91">
        <f>'Enhetskostnader-Forutsetninger'!C11</f>
        <v>848.46965413533837</v>
      </c>
      <c r="E14" s="71">
        <f>1/LOOKUP(G14,StatistikkÅr,BNPIndeks)</f>
        <v>1.3865570207065532</v>
      </c>
      <c r="F14" s="10" t="str">
        <f>'Enhetskostnader-Forutsetninger'!D11</f>
        <v>Kr/time</v>
      </c>
      <c r="G14" s="11">
        <f>'Enhetskostnader-Forutsetninger'!E11</f>
        <v>2019</v>
      </c>
      <c r="I14" s="58" t="s">
        <v>123</v>
      </c>
      <c r="J14" s="123" t="s">
        <v>124</v>
      </c>
      <c r="K14" s="67" t="s">
        <v>128</v>
      </c>
      <c r="L14" s="57" t="s">
        <v>117</v>
      </c>
      <c r="M14" s="56">
        <v>43920</v>
      </c>
      <c r="N14" s="152" t="s">
        <v>126</v>
      </c>
    </row>
    <row r="15" spans="1:14">
      <c r="B15" s="34" t="s">
        <v>129</v>
      </c>
      <c r="C15" s="163"/>
      <c r="D15" s="102"/>
      <c r="E15" s="39"/>
      <c r="F15" s="39"/>
      <c r="G15" s="35"/>
      <c r="H15" s="27"/>
      <c r="I15" s="36"/>
      <c r="J15" s="140"/>
      <c r="K15" s="39"/>
      <c r="L15" s="39"/>
      <c r="M15" s="96"/>
      <c r="N15" s="155"/>
    </row>
    <row r="16" spans="1:14">
      <c r="A16" s="70"/>
      <c r="B16" s="9" t="s">
        <v>130</v>
      </c>
      <c r="C16" s="114">
        <f>D16*E16</f>
        <v>692.08719724147079</v>
      </c>
      <c r="D16" s="91">
        <f>'Enhetskostnader-Forutsetninger'!C13</f>
        <v>499.14081203007521</v>
      </c>
      <c r="E16" s="71">
        <f>1/LOOKUP(G16,StatistikkÅr,BNPIndeks)</f>
        <v>1.3865570207065532</v>
      </c>
      <c r="F16" s="10" t="str">
        <f>'Enhetskostnader-Forutsetninger'!D13</f>
        <v>Kr/time</v>
      </c>
      <c r="G16" s="11">
        <f>'Enhetskostnader-Forutsetninger'!E13</f>
        <v>2019</v>
      </c>
      <c r="I16" s="58" t="s">
        <v>123</v>
      </c>
      <c r="J16" s="123" t="s">
        <v>124</v>
      </c>
      <c r="K16" s="10" t="s">
        <v>131</v>
      </c>
      <c r="L16" s="57" t="s">
        <v>117</v>
      </c>
      <c r="M16" s="56">
        <v>43920</v>
      </c>
      <c r="N16" s="152" t="s">
        <v>126</v>
      </c>
    </row>
    <row r="17" spans="1:14">
      <c r="A17" s="70"/>
      <c r="B17" s="9" t="s">
        <v>132</v>
      </c>
      <c r="C17" s="114">
        <f>D17*E17</f>
        <v>646.50971268954788</v>
      </c>
      <c r="D17" s="91">
        <f>'Enhetskostnader-Forutsetninger'!C14</f>
        <v>466.26983458646617</v>
      </c>
      <c r="E17" s="71">
        <f>1/LOOKUP(G17,StatistikkÅr,BNPIndeks)</f>
        <v>1.3865570207065532</v>
      </c>
      <c r="F17" s="10" t="str">
        <f>'Enhetskostnader-Forutsetninger'!D14</f>
        <v>Kr/time</v>
      </c>
      <c r="G17" s="11">
        <f>'Enhetskostnader-Forutsetninger'!E14</f>
        <v>2019</v>
      </c>
      <c r="I17" s="58" t="s">
        <v>123</v>
      </c>
      <c r="J17" s="123" t="s">
        <v>124</v>
      </c>
      <c r="K17" s="10" t="s">
        <v>133</v>
      </c>
      <c r="L17" s="57" t="s">
        <v>117</v>
      </c>
      <c r="M17" s="56">
        <v>43920</v>
      </c>
      <c r="N17" s="152" t="s">
        <v>126</v>
      </c>
    </row>
    <row r="18" spans="1:14">
      <c r="B18" s="34" t="s">
        <v>134</v>
      </c>
      <c r="C18" s="162"/>
      <c r="D18" s="102"/>
      <c r="E18" s="39"/>
      <c r="F18" s="39"/>
      <c r="G18" s="35"/>
      <c r="I18" s="43"/>
      <c r="J18" s="122"/>
      <c r="K18" s="39"/>
      <c r="L18" s="39"/>
      <c r="M18" s="96"/>
      <c r="N18" s="155"/>
    </row>
    <row r="19" spans="1:14">
      <c r="B19" s="9" t="s">
        <v>135</v>
      </c>
      <c r="C19" s="114">
        <f>D19*E19</f>
        <v>328.2260948689742</v>
      </c>
      <c r="D19" s="91">
        <f>'Enhetskostnader-Forutsetninger'!C16</f>
        <v>236.72022857142852</v>
      </c>
      <c r="E19" s="71">
        <f>1/LOOKUP(G19,StatistikkÅr,BNPIndeks)</f>
        <v>1.3865570207065532</v>
      </c>
      <c r="F19" s="10" t="str">
        <f>'Enhetskostnader-Forutsetninger'!D16</f>
        <v>Kr/time</v>
      </c>
      <c r="G19" s="151">
        <f>'Enhetskostnader-Forutsetninger'!E16</f>
        <v>2019</v>
      </c>
      <c r="I19" s="58" t="s">
        <v>89</v>
      </c>
      <c r="J19" s="123" t="s">
        <v>124</v>
      </c>
      <c r="K19" s="10" t="s">
        <v>136</v>
      </c>
      <c r="L19" s="57" t="s">
        <v>117</v>
      </c>
      <c r="M19" s="56">
        <v>43937</v>
      </c>
      <c r="N19" s="152" t="s">
        <v>126</v>
      </c>
    </row>
    <row r="20" spans="1:14">
      <c r="B20" s="34" t="s">
        <v>137</v>
      </c>
      <c r="C20" s="164"/>
      <c r="D20" s="108"/>
      <c r="E20" s="107"/>
      <c r="F20" s="107"/>
      <c r="G20" s="109"/>
      <c r="H20" s="27"/>
      <c r="I20" s="34"/>
      <c r="J20" s="141"/>
      <c r="K20" s="107"/>
      <c r="L20" s="107"/>
      <c r="M20" s="110"/>
      <c r="N20" s="145"/>
    </row>
    <row r="21" spans="1:14">
      <c r="B21" s="9" t="s">
        <v>138</v>
      </c>
      <c r="C21" s="114">
        <f t="shared" ref="C21:C27" si="0">D21*E21</f>
        <v>1085843.8617925656</v>
      </c>
      <c r="D21" s="88">
        <f>'Enhetskostnader-Forutsetninger'!C18</f>
        <v>783122.39999999991</v>
      </c>
      <c r="E21" s="71">
        <f t="shared" ref="E21:E27" si="1">1/LOOKUP(G21,StatistikkÅr,BNPIndeks)</f>
        <v>1.3865570207065532</v>
      </c>
      <c r="F21" s="10" t="str">
        <f>'Enhetskostnader-Forutsetninger'!D18</f>
        <v>Kr/år</v>
      </c>
      <c r="G21" s="11">
        <f>'Enhetskostnader-Forutsetninger'!E18</f>
        <v>2019</v>
      </c>
      <c r="I21" s="58" t="s">
        <v>123</v>
      </c>
      <c r="J21" s="123" t="s">
        <v>124</v>
      </c>
      <c r="K21" s="10" t="s">
        <v>139</v>
      </c>
      <c r="L21" s="57" t="s">
        <v>117</v>
      </c>
      <c r="M21" s="56">
        <v>43921</v>
      </c>
      <c r="N21" s="152" t="s">
        <v>126</v>
      </c>
    </row>
    <row r="22" spans="1:14">
      <c r="B22" s="9" t="s">
        <v>140</v>
      </c>
      <c r="C22" s="114">
        <f t="shared" si="0"/>
        <v>90486.988482713801</v>
      </c>
      <c r="D22" s="88">
        <f>'Enhetskostnader-Forutsetninger'!C19</f>
        <v>65260.2</v>
      </c>
      <c r="E22" s="71">
        <f t="shared" si="1"/>
        <v>1.3865570207065532</v>
      </c>
      <c r="F22" s="10" t="str">
        <f>'Enhetskostnader-Forutsetninger'!D19</f>
        <v>Kr/måned</v>
      </c>
      <c r="G22" s="11">
        <f>'Enhetskostnader-Forutsetninger'!E19</f>
        <v>2019</v>
      </c>
      <c r="I22" s="58" t="s">
        <v>123</v>
      </c>
      <c r="J22" s="123" t="s">
        <v>124</v>
      </c>
      <c r="K22" s="10" t="s">
        <v>141</v>
      </c>
      <c r="L22" s="57" t="s">
        <v>117</v>
      </c>
      <c r="M22" s="56">
        <v>43921</v>
      </c>
      <c r="N22" s="152" t="s">
        <v>126</v>
      </c>
    </row>
    <row r="23" spans="1:14">
      <c r="B23" s="9" t="s">
        <v>142</v>
      </c>
      <c r="C23" s="114">
        <f t="shared" si="0"/>
        <v>4653.6165505395657</v>
      </c>
      <c r="D23" s="88">
        <f>'Enhetskostnader-Forutsetninger'!C20</f>
        <v>3356.2388571428564</v>
      </c>
      <c r="E23" s="71">
        <f t="shared" si="1"/>
        <v>1.3865570207065532</v>
      </c>
      <c r="F23" s="10" t="str">
        <f>'Enhetskostnader-Forutsetninger'!D20</f>
        <v>Kr/dag</v>
      </c>
      <c r="G23" s="11">
        <f>'Enhetskostnader-Forutsetninger'!E20</f>
        <v>2019</v>
      </c>
      <c r="I23" s="58" t="s">
        <v>123</v>
      </c>
      <c r="J23" s="123" t="s">
        <v>124</v>
      </c>
      <c r="K23" s="10" t="s">
        <v>143</v>
      </c>
      <c r="L23" s="57" t="s">
        <v>117</v>
      </c>
      <c r="M23" s="56">
        <v>43921</v>
      </c>
      <c r="N23" s="152" t="s">
        <v>126</v>
      </c>
    </row>
    <row r="24" spans="1:14">
      <c r="B24" s="9" t="s">
        <v>144</v>
      </c>
      <c r="C24" s="114">
        <f t="shared" si="0"/>
        <v>620.48220673860874</v>
      </c>
      <c r="D24" s="88">
        <f>'Enhetskostnader-Forutsetninger'!C21</f>
        <v>447.49851428571418</v>
      </c>
      <c r="E24" s="71">
        <f t="shared" si="1"/>
        <v>1.3865570207065532</v>
      </c>
      <c r="F24" s="10" t="str">
        <f>'Enhetskostnader-Forutsetninger'!D21</f>
        <v>Kr/time</v>
      </c>
      <c r="G24" s="11">
        <f>'Enhetskostnader-Forutsetninger'!E21</f>
        <v>2019</v>
      </c>
      <c r="I24" s="58" t="s">
        <v>123</v>
      </c>
      <c r="J24" s="123" t="s">
        <v>124</v>
      </c>
      <c r="K24" s="10" t="s">
        <v>145</v>
      </c>
      <c r="L24" s="57" t="s">
        <v>117</v>
      </c>
      <c r="M24" s="56">
        <v>43921</v>
      </c>
      <c r="N24" s="152" t="s">
        <v>126</v>
      </c>
    </row>
    <row r="25" spans="1:14">
      <c r="B25" s="9" t="s">
        <v>146</v>
      </c>
      <c r="C25" s="114">
        <f t="shared" si="0"/>
        <v>47866.305501725416</v>
      </c>
      <c r="D25" s="88">
        <f>'Enhetskostnader-Forutsetninger'!C22</f>
        <v>34521.699999999997</v>
      </c>
      <c r="E25" s="71">
        <f t="shared" si="1"/>
        <v>1.3865570207065532</v>
      </c>
      <c r="F25" s="10" t="str">
        <f>'Enhetskostnader-Forutsetninger'!D22</f>
        <v>Kr/måned</v>
      </c>
      <c r="G25" s="11">
        <f>'Enhetskostnader-Forutsetninger'!E22</f>
        <v>2019</v>
      </c>
      <c r="I25" s="58" t="s">
        <v>123</v>
      </c>
      <c r="J25" s="123" t="s">
        <v>124</v>
      </c>
      <c r="K25" s="10" t="s">
        <v>147</v>
      </c>
      <c r="L25" s="57" t="s">
        <v>117</v>
      </c>
      <c r="M25" s="56">
        <v>43921</v>
      </c>
      <c r="N25" s="152" t="s">
        <v>126</v>
      </c>
    </row>
    <row r="26" spans="1:14">
      <c r="B26" s="9" t="s">
        <v>148</v>
      </c>
      <c r="C26" s="114">
        <f t="shared" si="0"/>
        <v>2461.6957115173068</v>
      </c>
      <c r="D26" s="88">
        <f>'Enhetskostnader-Forutsetninger'!C23</f>
        <v>1775.401714285714</v>
      </c>
      <c r="E26" s="71">
        <f t="shared" si="1"/>
        <v>1.3865570207065532</v>
      </c>
      <c r="F26" s="10" t="str">
        <f>'Enhetskostnader-Forutsetninger'!D23</f>
        <v>Kr/dag</v>
      </c>
      <c r="G26" s="11">
        <f>'Enhetskostnader-Forutsetninger'!E23</f>
        <v>2019</v>
      </c>
      <c r="I26" s="58" t="s">
        <v>123</v>
      </c>
      <c r="J26" s="123" t="s">
        <v>124</v>
      </c>
      <c r="K26" s="10" t="s">
        <v>149</v>
      </c>
      <c r="L26" s="57" t="s">
        <v>117</v>
      </c>
      <c r="M26" s="56">
        <v>43921</v>
      </c>
      <c r="N26" s="152" t="s">
        <v>126</v>
      </c>
    </row>
    <row r="27" spans="1:14">
      <c r="A27" s="70"/>
      <c r="B27" s="9" t="s">
        <v>150</v>
      </c>
      <c r="C27" s="114">
        <f t="shared" si="0"/>
        <v>328.2260948689742</v>
      </c>
      <c r="D27" s="88">
        <f>'Enhetskostnader-Forutsetninger'!C24</f>
        <v>236.72022857142852</v>
      </c>
      <c r="E27" s="71">
        <f t="shared" si="1"/>
        <v>1.3865570207065532</v>
      </c>
      <c r="F27" s="10" t="str">
        <f>'Enhetskostnader-Forutsetninger'!D24</f>
        <v>Kr/time</v>
      </c>
      <c r="G27" s="11">
        <f>'Enhetskostnader-Forutsetninger'!E24</f>
        <v>2019</v>
      </c>
      <c r="I27" s="58" t="s">
        <v>123</v>
      </c>
      <c r="J27" s="123" t="s">
        <v>124</v>
      </c>
      <c r="K27" s="10" t="s">
        <v>151</v>
      </c>
      <c r="L27" s="57" t="s">
        <v>117</v>
      </c>
      <c r="M27" s="56">
        <v>43921</v>
      </c>
      <c r="N27" s="152" t="s">
        <v>126</v>
      </c>
    </row>
    <row r="28" spans="1:14" ht="18.600000000000001">
      <c r="A28" s="70"/>
      <c r="B28" s="30" t="s">
        <v>152</v>
      </c>
      <c r="C28" s="165"/>
      <c r="D28" s="103"/>
      <c r="E28" s="45"/>
      <c r="F28" s="45"/>
      <c r="G28" s="4"/>
      <c r="I28" s="3"/>
      <c r="J28" s="124"/>
      <c r="K28" s="45"/>
      <c r="L28" s="45"/>
      <c r="M28" s="97"/>
      <c r="N28" s="153"/>
    </row>
    <row r="29" spans="1:14">
      <c r="B29" s="9" t="s">
        <v>153</v>
      </c>
      <c r="C29" s="114">
        <f>D29*E29</f>
        <v>3664.6794280442796</v>
      </c>
      <c r="D29" s="91">
        <f>'Enhetskostnader-Forutsetninger'!C26</f>
        <v>2973.4375</v>
      </c>
      <c r="E29" s="71">
        <f>1/LOOKUP(G29,StatistikkÅr,KPIIndeks)</f>
        <v>1.232472324723247</v>
      </c>
      <c r="F29" s="10" t="str">
        <f>'Enhetskostnader-Forutsetninger'!D26</f>
        <v>Kr</v>
      </c>
      <c r="G29" s="11">
        <f>'Enhetskostnader-Forutsetninger'!E26</f>
        <v>2018</v>
      </c>
      <c r="I29" s="58" t="s">
        <v>89</v>
      </c>
      <c r="J29" s="123" t="s">
        <v>154</v>
      </c>
      <c r="K29" s="10" t="s">
        <v>155</v>
      </c>
      <c r="L29" s="57" t="s">
        <v>117</v>
      </c>
      <c r="M29" s="56">
        <v>43920</v>
      </c>
      <c r="N29" s="152" t="s">
        <v>126</v>
      </c>
    </row>
    <row r="30" spans="1:14">
      <c r="B30" s="9" t="s">
        <v>156</v>
      </c>
      <c r="C30" s="114">
        <f>D30*E30</f>
        <v>269.60332103321025</v>
      </c>
      <c r="D30" s="91">
        <f>'Enhetskostnader-Forutsetninger'!C27</f>
        <v>218.75</v>
      </c>
      <c r="E30" s="71">
        <f>1/LOOKUP(G30,StatistikkÅr,KPIIndeks)</f>
        <v>1.232472324723247</v>
      </c>
      <c r="F30" s="10" t="str">
        <f>'Enhetskostnader-Forutsetninger'!D27</f>
        <v>Kr</v>
      </c>
      <c r="G30" s="11">
        <f>'Enhetskostnader-Forutsetninger'!E27</f>
        <v>2018</v>
      </c>
      <c r="I30" s="58" t="s">
        <v>89</v>
      </c>
      <c r="J30" s="123" t="s">
        <v>154</v>
      </c>
      <c r="K30" s="10" t="s">
        <v>157</v>
      </c>
      <c r="L30" s="57" t="s">
        <v>117</v>
      </c>
      <c r="M30" s="56">
        <v>43920</v>
      </c>
      <c r="N30" s="152" t="s">
        <v>126</v>
      </c>
    </row>
    <row r="31" spans="1:14" ht="18.600000000000001">
      <c r="A31" s="70"/>
      <c r="B31" s="30" t="s">
        <v>158</v>
      </c>
      <c r="C31" s="161"/>
      <c r="D31" s="37"/>
      <c r="E31" s="37"/>
      <c r="F31" s="37"/>
      <c r="G31" s="29"/>
      <c r="H31" s="27"/>
      <c r="I31" s="28"/>
      <c r="J31" s="55"/>
      <c r="K31" s="37"/>
      <c r="L31" s="37"/>
      <c r="M31" s="95"/>
      <c r="N31" s="52"/>
    </row>
    <row r="32" spans="1:14">
      <c r="A32" s="70"/>
      <c r="B32" s="73" t="s">
        <v>159</v>
      </c>
      <c r="C32" s="114">
        <f>D32*E32</f>
        <v>385.84837545126356</v>
      </c>
      <c r="D32" s="44">
        <f>'Enhetskostnader-Forutsetninger'!C29</f>
        <v>320</v>
      </c>
      <c r="E32" s="71">
        <f>1/LOOKUP(G32,StatistikkÅr,KPIIndeks)</f>
        <v>1.2057761732851986</v>
      </c>
      <c r="F32" s="10" t="str">
        <f>'Enhetskostnader-Forutsetninger'!D29</f>
        <v>Kr</v>
      </c>
      <c r="G32" s="11">
        <f>'Enhetskostnader-Forutsetninger'!E29</f>
        <v>2019</v>
      </c>
      <c r="I32" s="58" t="s">
        <v>60</v>
      </c>
      <c r="J32" s="123" t="s">
        <v>154</v>
      </c>
      <c r="K32" s="67" t="s">
        <v>160</v>
      </c>
      <c r="L32" s="57" t="s">
        <v>117</v>
      </c>
      <c r="M32" s="56">
        <v>43921</v>
      </c>
      <c r="N32" s="152" t="s">
        <v>126</v>
      </c>
    </row>
    <row r="33" spans="1:15">
      <c r="A33" s="70"/>
      <c r="B33" s="73" t="s">
        <v>161</v>
      </c>
      <c r="C33" s="114">
        <f>D33*E33</f>
        <v>894.68592057761737</v>
      </c>
      <c r="D33" s="44">
        <f>'Enhetskostnader-Forutsetninger'!C30</f>
        <v>742</v>
      </c>
      <c r="E33" s="71">
        <f>1/LOOKUP(G33,StatistikkÅr,KPIIndeks)</f>
        <v>1.2057761732851986</v>
      </c>
      <c r="F33" s="10" t="str">
        <f>'Enhetskostnader-Forutsetninger'!D30</f>
        <v>Kr</v>
      </c>
      <c r="G33" s="11">
        <f>'Enhetskostnader-Forutsetninger'!E30</f>
        <v>2019</v>
      </c>
      <c r="I33" s="58" t="s">
        <v>60</v>
      </c>
      <c r="J33" s="123" t="s">
        <v>154</v>
      </c>
      <c r="K33" s="67" t="s">
        <v>162</v>
      </c>
      <c r="L33" s="57" t="s">
        <v>117</v>
      </c>
      <c r="M33" s="56">
        <v>43986</v>
      </c>
      <c r="N33" s="152" t="s">
        <v>126</v>
      </c>
    </row>
    <row r="34" spans="1:15">
      <c r="A34" s="70"/>
      <c r="B34" s="73" t="s">
        <v>163</v>
      </c>
      <c r="C34" s="114">
        <f t="shared" ref="C34:C35" si="2">D34*E34</f>
        <v>624.59205776173292</v>
      </c>
      <c r="D34" s="44">
        <f>'Enhetskostnader-Forutsetninger'!C31</f>
        <v>518</v>
      </c>
      <c r="E34" s="71">
        <f>1/LOOKUP(G34,StatistikkÅr,KPIIndeks)</f>
        <v>1.2057761732851986</v>
      </c>
      <c r="F34" s="10" t="str">
        <f>'Enhetskostnader-Forutsetninger'!D31</f>
        <v>Kr</v>
      </c>
      <c r="G34" s="11">
        <f>'Enhetskostnader-Forutsetninger'!E31</f>
        <v>2019</v>
      </c>
      <c r="I34" s="58" t="s">
        <v>60</v>
      </c>
      <c r="J34" s="123" t="s">
        <v>154</v>
      </c>
      <c r="K34" s="67" t="s">
        <v>164</v>
      </c>
      <c r="L34" s="57" t="s">
        <v>117</v>
      </c>
      <c r="M34" s="56">
        <v>43951</v>
      </c>
      <c r="N34" s="152" t="s">
        <v>126</v>
      </c>
    </row>
    <row r="35" spans="1:15">
      <c r="A35" s="70"/>
      <c r="B35" s="73" t="s">
        <v>165</v>
      </c>
      <c r="C35" s="114">
        <f t="shared" si="2"/>
        <v>846.45487364620942</v>
      </c>
      <c r="D35" s="44">
        <f>'Enhetskostnader-Forutsetninger'!C32</f>
        <v>702</v>
      </c>
      <c r="E35" s="71">
        <f>1/LOOKUP(G35,StatistikkÅr,KPIIndeks)</f>
        <v>1.2057761732851986</v>
      </c>
      <c r="F35" s="10" t="str">
        <f>'Enhetskostnader-Forutsetninger'!D32</f>
        <v>Kr</v>
      </c>
      <c r="G35" s="11">
        <f>'Enhetskostnader-Forutsetninger'!E32</f>
        <v>2019</v>
      </c>
      <c r="I35" s="58" t="s">
        <v>60</v>
      </c>
      <c r="J35" s="123" t="s">
        <v>154</v>
      </c>
      <c r="K35" s="67" t="s">
        <v>166</v>
      </c>
      <c r="L35" s="57" t="s">
        <v>117</v>
      </c>
      <c r="M35" s="56">
        <v>43951</v>
      </c>
      <c r="N35" s="152" t="s">
        <v>126</v>
      </c>
    </row>
    <row r="36" spans="1:15" ht="18.600000000000001">
      <c r="B36" s="30" t="s">
        <v>167</v>
      </c>
      <c r="C36" s="161"/>
      <c r="D36" s="37"/>
      <c r="E36" s="37"/>
      <c r="F36" s="37"/>
      <c r="G36" s="29"/>
      <c r="H36" s="27"/>
      <c r="I36" s="28"/>
      <c r="J36" s="55"/>
      <c r="K36" s="37"/>
      <c r="L36" s="37"/>
      <c r="M36" s="95"/>
      <c r="N36" s="52"/>
    </row>
    <row r="37" spans="1:15">
      <c r="A37" s="70"/>
      <c r="B37" s="9" t="s">
        <v>168</v>
      </c>
      <c r="C37" s="114">
        <f>D37*E37</f>
        <v>144.69314079422384</v>
      </c>
      <c r="D37" s="44">
        <f>'Enhetskostnader-Forutsetninger'!C34</f>
        <v>120</v>
      </c>
      <c r="E37" s="71">
        <f>1/LOOKUP(G37,StatistikkÅr,KPIIndeks)</f>
        <v>1.2057761732851986</v>
      </c>
      <c r="F37" s="10" t="str">
        <f>'Enhetskostnader-Forutsetninger'!D34</f>
        <v>Kr</v>
      </c>
      <c r="G37" s="11">
        <f>'Enhetskostnader-Forutsetninger'!E34</f>
        <v>2019</v>
      </c>
      <c r="I37" s="58" t="s">
        <v>60</v>
      </c>
      <c r="J37" s="123" t="s">
        <v>154</v>
      </c>
      <c r="K37" s="143" t="s">
        <v>169</v>
      </c>
      <c r="L37" s="57" t="s">
        <v>117</v>
      </c>
      <c r="M37" s="56">
        <v>43985</v>
      </c>
      <c r="N37" s="152" t="s">
        <v>126</v>
      </c>
    </row>
    <row r="38" spans="1:15" ht="18.600000000000001">
      <c r="A38" s="70"/>
      <c r="B38" s="30" t="s">
        <v>170</v>
      </c>
      <c r="C38" s="161"/>
      <c r="D38" s="37"/>
      <c r="E38" s="37"/>
      <c r="F38" s="37"/>
      <c r="G38" s="29"/>
      <c r="H38" s="27"/>
      <c r="I38" s="28"/>
      <c r="J38" s="55"/>
      <c r="K38" s="37"/>
      <c r="L38" s="37"/>
      <c r="M38" s="95"/>
      <c r="N38" s="52"/>
    </row>
    <row r="39" spans="1:15" s="27" customFormat="1">
      <c r="B39" s="73" t="s">
        <v>171</v>
      </c>
      <c r="C39" s="180">
        <f t="shared" ref="C39" si="3">D39*E39</f>
        <v>863.88682838914985</v>
      </c>
      <c r="D39" s="181">
        <f>'Enhetskostnader-Forutsetninger'!C36</f>
        <v>725.50974659627707</v>
      </c>
      <c r="E39" s="182">
        <f>1/LOOKUP(G39,StatistikkÅr,KPIIndeks)</f>
        <v>1.1907308377896613</v>
      </c>
      <c r="F39" s="67" t="str">
        <f>'Enhetskostnader-Forutsetninger'!D36</f>
        <v>Kr per tur</v>
      </c>
      <c r="G39" s="178">
        <f>'Enhetskostnader-Forutsetninger'!E36</f>
        <v>2020</v>
      </c>
      <c r="I39" s="58" t="s">
        <v>89</v>
      </c>
      <c r="J39" s="183" t="s">
        <v>154</v>
      </c>
      <c r="K39" s="67" t="s">
        <v>172</v>
      </c>
      <c r="L39" s="184" t="s">
        <v>117</v>
      </c>
      <c r="M39" s="177">
        <v>44104</v>
      </c>
      <c r="N39" s="185" t="s">
        <v>126</v>
      </c>
    </row>
    <row r="40" spans="1:15" ht="18.600000000000001">
      <c r="A40" s="70"/>
      <c r="B40" s="30" t="s">
        <v>173</v>
      </c>
      <c r="C40" s="161"/>
      <c r="D40" s="37"/>
      <c r="E40" s="37"/>
      <c r="F40" s="37"/>
      <c r="G40" s="29"/>
      <c r="H40" s="27"/>
      <c r="I40" s="28"/>
      <c r="J40" s="55"/>
      <c r="K40" s="37"/>
      <c r="L40" s="37"/>
      <c r="M40" s="95"/>
      <c r="N40" s="52"/>
      <c r="O40" s="70"/>
    </row>
    <row r="41" spans="1:15">
      <c r="B41" s="9" t="s">
        <v>174</v>
      </c>
      <c r="C41" s="114">
        <f t="shared" ref="C41" si="4">D41*E41</f>
        <v>21527.962085308056</v>
      </c>
      <c r="D41" s="88">
        <v>17000</v>
      </c>
      <c r="E41" s="71">
        <f t="shared" ref="E41:E42" si="5">1/LOOKUP(G41,StatistikkÅr,KPIIndeks)</f>
        <v>1.2663507109004739</v>
      </c>
      <c r="F41" s="10" t="s">
        <v>175</v>
      </c>
      <c r="G41" s="11">
        <v>2017</v>
      </c>
      <c r="I41" s="58" t="s">
        <v>57</v>
      </c>
      <c r="J41" s="123" t="s">
        <v>154</v>
      </c>
      <c r="K41" s="10" t="s">
        <v>176</v>
      </c>
      <c r="L41" s="10"/>
      <c r="M41" s="56">
        <v>44006</v>
      </c>
      <c r="N41" s="152" t="s">
        <v>126</v>
      </c>
    </row>
    <row r="42" spans="1:15">
      <c r="B42" s="9" t="s">
        <v>177</v>
      </c>
      <c r="C42" s="114">
        <f t="shared" ref="C42" si="6">D42*E42</f>
        <v>60288.80866425993</v>
      </c>
      <c r="D42" s="88">
        <v>50000</v>
      </c>
      <c r="E42" s="71">
        <f t="shared" si="5"/>
        <v>1.2057761732851986</v>
      </c>
      <c r="F42" s="10" t="s">
        <v>175</v>
      </c>
      <c r="G42" s="11">
        <v>2019</v>
      </c>
      <c r="I42" s="58" t="s">
        <v>57</v>
      </c>
      <c r="J42" s="123" t="s">
        <v>154</v>
      </c>
      <c r="K42" s="10" t="s">
        <v>178</v>
      </c>
      <c r="L42" s="10"/>
      <c r="M42" s="56">
        <v>44006</v>
      </c>
      <c r="N42" s="152" t="s">
        <v>126</v>
      </c>
    </row>
    <row r="43" spans="1:15" ht="18.600000000000001">
      <c r="B43" s="30" t="s">
        <v>179</v>
      </c>
      <c r="C43" s="161"/>
      <c r="D43" s="37"/>
      <c r="E43" s="37"/>
      <c r="F43" s="37"/>
      <c r="G43" s="29"/>
      <c r="H43" s="27"/>
      <c r="I43" s="28"/>
      <c r="J43" s="55"/>
      <c r="K43" s="37"/>
      <c r="L43" s="37"/>
      <c r="M43" s="95"/>
      <c r="N43" s="52"/>
    </row>
    <row r="44" spans="1:15">
      <c r="B44" s="34" t="s">
        <v>180</v>
      </c>
      <c r="C44" s="163"/>
      <c r="D44" s="102"/>
      <c r="E44" s="39"/>
      <c r="F44" s="39"/>
      <c r="G44" s="35"/>
      <c r="H44" s="27"/>
      <c r="I44" s="36"/>
      <c r="J44" s="140"/>
      <c r="K44" s="39"/>
      <c r="L44" s="39"/>
      <c r="M44" s="96"/>
      <c r="N44" s="155"/>
    </row>
    <row r="45" spans="1:15">
      <c r="B45" s="202">
        <v>2025</v>
      </c>
      <c r="C45" s="180">
        <f t="shared" ref="C45" si="7">D45*E45</f>
        <v>53345.098039215685</v>
      </c>
      <c r="D45" s="199">
        <v>54412</v>
      </c>
      <c r="E45" s="182">
        <f t="shared" ref="E45" si="8">1/LOOKUP(G45,StatistikkÅr,KPIIndeks)</f>
        <v>0.98039215686274506</v>
      </c>
      <c r="F45" s="67" t="s">
        <v>175</v>
      </c>
      <c r="G45" s="178">
        <v>2025</v>
      </c>
      <c r="H45" s="27"/>
      <c r="I45" s="58" t="str">
        <f t="shared" ref="I45:I53" si="9">Helsedirektoratet_2022</f>
        <v>Helsedirektoratet (2022)</v>
      </c>
      <c r="J45" s="183" t="s">
        <v>154</v>
      </c>
      <c r="K45" s="67"/>
      <c r="L45" s="177"/>
      <c r="M45" s="177">
        <v>45833</v>
      </c>
      <c r="N45" s="185" t="s">
        <v>181</v>
      </c>
    </row>
    <row r="46" spans="1:15">
      <c r="B46" s="202">
        <v>2024</v>
      </c>
      <c r="C46" s="180">
        <f t="shared" ref="C46" si="10">D46*E46</f>
        <v>52248</v>
      </c>
      <c r="D46" s="199">
        <v>52248</v>
      </c>
      <c r="E46" s="182">
        <f t="shared" ref="E46" si="11">1/LOOKUP(G46,StatistikkÅr,KPIIndeks)</f>
        <v>1</v>
      </c>
      <c r="F46" s="67" t="s">
        <v>175</v>
      </c>
      <c r="G46" s="178">
        <v>2024</v>
      </c>
      <c r="H46" s="27"/>
      <c r="I46" s="58" t="str">
        <f t="shared" si="9"/>
        <v>Helsedirektoratet (2022)</v>
      </c>
      <c r="J46" s="183" t="s">
        <v>154</v>
      </c>
      <c r="K46" s="67"/>
      <c r="L46" s="177"/>
      <c r="M46" s="177">
        <v>45608</v>
      </c>
      <c r="N46" s="185" t="s">
        <v>181</v>
      </c>
    </row>
    <row r="47" spans="1:15" s="70" customFormat="1">
      <c r="B47" s="202">
        <v>2023</v>
      </c>
      <c r="C47" s="180">
        <f t="shared" ref="C47" si="12">D47*E47</f>
        <v>51699.9012345679</v>
      </c>
      <c r="D47" s="199">
        <v>50152</v>
      </c>
      <c r="E47" s="182">
        <f t="shared" ref="E47" si="13">1/LOOKUP(G47,StatistikkÅr,KPIIndeks)</f>
        <v>1.0308641975308641</v>
      </c>
      <c r="F47" s="67" t="s">
        <v>175</v>
      </c>
      <c r="G47" s="178">
        <v>2023</v>
      </c>
      <c r="I47" s="58" t="str">
        <f t="shared" si="9"/>
        <v>Helsedirektoratet (2022)</v>
      </c>
      <c r="J47" s="183" t="s">
        <v>154</v>
      </c>
      <c r="K47" s="67"/>
      <c r="L47" s="177"/>
      <c r="M47" s="177">
        <v>45212</v>
      </c>
      <c r="N47" s="185" t="s">
        <v>182</v>
      </c>
    </row>
    <row r="48" spans="1:15" s="70" customFormat="1">
      <c r="B48" s="202">
        <v>2022</v>
      </c>
      <c r="C48" s="180">
        <f t="shared" ref="C48" si="14">D48*E48</f>
        <v>51940.807817589579</v>
      </c>
      <c r="D48" s="199">
        <v>47742</v>
      </c>
      <c r="E48" s="182">
        <f t="shared" ref="E48:E53" si="15">1/LOOKUP(G48,StatistikkÅr,KPIIndeks)</f>
        <v>1.0879478827361564</v>
      </c>
      <c r="F48" s="67" t="s">
        <v>175</v>
      </c>
      <c r="G48" s="178">
        <v>2022</v>
      </c>
      <c r="I48" s="58" t="str">
        <f t="shared" si="9"/>
        <v>Helsedirektoratet (2022)</v>
      </c>
      <c r="J48" s="183" t="s">
        <v>154</v>
      </c>
      <c r="K48" s="67"/>
      <c r="L48" s="177"/>
      <c r="M48" s="177">
        <v>44726</v>
      </c>
      <c r="N48" s="185" t="s">
        <v>126</v>
      </c>
    </row>
    <row r="49" spans="1:14" s="70" customFormat="1">
      <c r="B49" s="202">
        <v>2021</v>
      </c>
      <c r="C49" s="180">
        <f t="shared" ref="C49" si="16">D49*E49</f>
        <v>53761.054263565893</v>
      </c>
      <c r="D49" s="199">
        <v>46719</v>
      </c>
      <c r="E49" s="182">
        <f t="shared" si="15"/>
        <v>1.1507321274763136</v>
      </c>
      <c r="F49" s="67" t="s">
        <v>175</v>
      </c>
      <c r="G49" s="178">
        <v>2021</v>
      </c>
      <c r="I49" s="58" t="str">
        <f t="shared" si="9"/>
        <v>Helsedirektoratet (2022)</v>
      </c>
      <c r="J49" s="183" t="s">
        <v>154</v>
      </c>
      <c r="K49" s="67"/>
      <c r="L49" s="177"/>
      <c r="M49" s="177">
        <v>44726</v>
      </c>
      <c r="N49" s="185" t="s">
        <v>126</v>
      </c>
    </row>
    <row r="50" spans="1:14">
      <c r="B50" s="144">
        <v>2020</v>
      </c>
      <c r="C50" s="114">
        <f t="shared" ref="C50:C51" si="17">D50*E50</f>
        <v>54544.998217468805</v>
      </c>
      <c r="D50" s="88">
        <v>45808</v>
      </c>
      <c r="E50" s="71">
        <f t="shared" si="15"/>
        <v>1.1907308377896613</v>
      </c>
      <c r="F50" s="10" t="s">
        <v>175</v>
      </c>
      <c r="G50" s="11">
        <v>2020</v>
      </c>
      <c r="I50" s="58" t="str">
        <f t="shared" si="9"/>
        <v>Helsedirektoratet (2022)</v>
      </c>
      <c r="J50" s="123" t="s">
        <v>154</v>
      </c>
      <c r="K50" s="10"/>
      <c r="L50" s="56"/>
      <c r="M50" s="56">
        <v>43923</v>
      </c>
      <c r="N50" s="152" t="s">
        <v>126</v>
      </c>
    </row>
    <row r="51" spans="1:14">
      <c r="B51" s="144">
        <v>2019</v>
      </c>
      <c r="C51" s="114">
        <f t="shared" si="17"/>
        <v>53842.729241877256</v>
      </c>
      <c r="D51" s="88">
        <v>44654</v>
      </c>
      <c r="E51" s="71">
        <f t="shared" si="15"/>
        <v>1.2057761732851986</v>
      </c>
      <c r="F51" s="10" t="s">
        <v>175</v>
      </c>
      <c r="G51" s="11">
        <v>2019</v>
      </c>
      <c r="I51" s="58" t="str">
        <f t="shared" si="9"/>
        <v>Helsedirektoratet (2022)</v>
      </c>
      <c r="J51" s="123" t="s">
        <v>154</v>
      </c>
      <c r="K51" s="10"/>
      <c r="L51" s="10"/>
      <c r="M51" s="56">
        <v>43923</v>
      </c>
      <c r="N51" s="152" t="s">
        <v>126</v>
      </c>
    </row>
    <row r="52" spans="1:14">
      <c r="B52" s="144">
        <v>2018</v>
      </c>
      <c r="C52" s="114">
        <f t="shared" ref="C52:C53" si="18">D52*E52</f>
        <v>53523.808118081171</v>
      </c>
      <c r="D52" s="88">
        <v>43428</v>
      </c>
      <c r="E52" s="71">
        <f t="shared" si="15"/>
        <v>1.232472324723247</v>
      </c>
      <c r="F52" s="10" t="s">
        <v>175</v>
      </c>
      <c r="G52" s="11">
        <v>2018</v>
      </c>
      <c r="I52" s="58" t="str">
        <f t="shared" si="9"/>
        <v>Helsedirektoratet (2022)</v>
      </c>
      <c r="J52" s="123" t="s">
        <v>154</v>
      </c>
      <c r="K52" s="10"/>
      <c r="L52" s="10"/>
      <c r="M52" s="56">
        <v>43923</v>
      </c>
      <c r="N52" s="152" t="s">
        <v>126</v>
      </c>
    </row>
    <row r="53" spans="1:14">
      <c r="B53" s="144">
        <v>2017</v>
      </c>
      <c r="C53" s="114">
        <f t="shared" si="18"/>
        <v>54140.291943127959</v>
      </c>
      <c r="D53" s="88">
        <v>42753</v>
      </c>
      <c r="E53" s="71">
        <f t="shared" si="15"/>
        <v>1.2663507109004739</v>
      </c>
      <c r="F53" s="10" t="s">
        <v>175</v>
      </c>
      <c r="G53" s="11">
        <v>2017</v>
      </c>
      <c r="I53" s="58" t="str">
        <f t="shared" si="9"/>
        <v>Helsedirektoratet (2022)</v>
      </c>
      <c r="J53" s="123" t="s">
        <v>154</v>
      </c>
      <c r="K53" s="10"/>
      <c r="L53" s="10"/>
      <c r="M53" s="56">
        <v>43923</v>
      </c>
      <c r="N53" s="152" t="s">
        <v>126</v>
      </c>
    </row>
    <row r="54" spans="1:14">
      <c r="A54" s="70"/>
      <c r="B54" s="34" t="s">
        <v>183</v>
      </c>
      <c r="C54" s="163"/>
      <c r="D54" s="102"/>
      <c r="E54" s="39"/>
      <c r="F54" s="39"/>
      <c r="G54" s="35"/>
      <c r="H54" s="27"/>
      <c r="I54" s="36"/>
      <c r="J54" s="140"/>
      <c r="K54" s="39"/>
      <c r="L54" s="39"/>
      <c r="M54" s="96"/>
      <c r="N54" s="155"/>
    </row>
    <row r="55" spans="1:14" ht="15" thickBot="1">
      <c r="B55" s="40" t="s">
        <v>184</v>
      </c>
      <c r="C55" s="169">
        <f t="shared" ref="C55" si="19">D55*E55</f>
        <v>71684.255999999994</v>
      </c>
      <c r="D55" s="170">
        <f>'Enhetskostnader-Forutsetninger'!C39</f>
        <v>71684.255999999994</v>
      </c>
      <c r="E55" s="171">
        <f>1/LOOKUP(G55,StatistikkÅr,KPIIndeks)</f>
        <v>1</v>
      </c>
      <c r="F55" s="41" t="str">
        <f>'Enhetskostnader-Forutsetninger'!D39</f>
        <v>Kr</v>
      </c>
      <c r="G55" s="42">
        <f>'Enhetskostnader-Forutsetninger'!E39</f>
        <v>2024</v>
      </c>
      <c r="I55" s="172" t="s">
        <v>185</v>
      </c>
      <c r="J55" s="142" t="s">
        <v>154</v>
      </c>
      <c r="K55" s="41" t="s">
        <v>186</v>
      </c>
      <c r="L55" s="173" t="s">
        <v>117</v>
      </c>
      <c r="M55" s="98">
        <v>43937</v>
      </c>
      <c r="N55" s="156" t="s">
        <v>126</v>
      </c>
    </row>
    <row r="58" spans="1:14">
      <c r="I58" s="193"/>
    </row>
    <row r="60" spans="1:14">
      <c r="I60" s="121"/>
    </row>
  </sheetData>
  <hyperlinks>
    <hyperlink ref="L29" location="'Enhetskostnader-Forutsetninger'!A1" display="Bakgrunn til sats" xr:uid="{00000000-0004-0000-0300-000002000000}"/>
    <hyperlink ref="L30" location="'Enhetskostnader-Forutsetninger'!A1" display="Bakgrunn til sats" xr:uid="{00000000-0004-0000-0300-000003000000}"/>
    <hyperlink ref="L16" location="'Enhetskostnader-Forutsetninger'!A1" display="Bakgrunn til sats" xr:uid="{00000000-0004-0000-0300-000004000000}"/>
    <hyperlink ref="L17" location="'Enhetskostnader-Forutsetninger'!A1" display="Bakgrunn til sats" xr:uid="{00000000-0004-0000-0300-000005000000}"/>
    <hyperlink ref="L13" location="'Enhetskostnader-Forutsetninger'!A1" display="Bakgrunn til sats" xr:uid="{00000000-0004-0000-0300-000006000000}"/>
    <hyperlink ref="L14" location="'Enhetskostnader-Forutsetninger'!A1" display="Bakgrunn til sats" xr:uid="{00000000-0004-0000-0300-000007000000}"/>
    <hyperlink ref="I13" location="SLV_2020" display="SSB (2020), SLV (2020)" xr:uid="{00000000-0004-0000-0300-000008000000}"/>
    <hyperlink ref="I14" location="SLV_2020" display="SSB (2020), SLV (2020)" xr:uid="{00000000-0004-0000-0300-000009000000}"/>
    <hyperlink ref="I16" location="SLV_2020" display="SSB (2020), SLV (2020)" xr:uid="{00000000-0004-0000-0300-00000A000000}"/>
    <hyperlink ref="I17" location="SLV_2020" display="SSB (2020), SLV (2020)" xr:uid="{00000000-0004-0000-0300-00000B000000}"/>
    <hyperlink ref="I21" location="SLV_2020" display="SSB (2020), SLV (2020)" xr:uid="{00000000-0004-0000-0300-00000C000000}"/>
    <hyperlink ref="I25" location="SLV_2020" display="SSB (2020), SLV (2020)" xr:uid="{00000000-0004-0000-0300-00000D000000}"/>
    <hyperlink ref="L21" location="'Enhetskostnader-Forutsetninger'!A1" display="Bakgrunn til sats" xr:uid="{00000000-0004-0000-0300-00000E000000}"/>
    <hyperlink ref="L22:L27" location="'Enhetskostnader-Forutsetninger'!A1" display="Bakgrunn til sats" xr:uid="{00000000-0004-0000-0300-00000F000000}"/>
    <hyperlink ref="L32" location="'Enhetskostnader-Forutsetninger'!A1" display="Bakgrunn til sats" xr:uid="{00000000-0004-0000-0300-000010000000}"/>
    <hyperlink ref="L33" location="'Enhetskostnader-Forutsetninger'!A1" display="Bakgrunn til sats" xr:uid="{00000000-0004-0000-0300-000011000000}"/>
    <hyperlink ref="I32" location="Legeforeningen_2019" display="Legeforeningen (2019)" xr:uid="{00000000-0004-0000-0300-000013000000}"/>
    <hyperlink ref="I33" location="Legeforeningen_2019" display="Legeforeningen (2019)" xr:uid="{00000000-0004-0000-0300-000014000000}"/>
    <hyperlink ref="I37" location="Legeforeningen_2019" display="Legeforeningen (2019)" xr:uid="{00000000-0004-0000-0300-000015000000}"/>
    <hyperlink ref="L37" location="'Enhetskostnader-Forutsetninger'!A1" display="Bakgrunn til sats" xr:uid="{00000000-0004-0000-0300-000016000000}"/>
    <hyperlink ref="I53" location="Helsedirektoratet_2022" display="Helsedirektoratet_2022" xr:uid="{00000000-0004-0000-0300-00001A000000}"/>
    <hyperlink ref="L19" location="'Enhetskostnader-Forutsetninger'!A1" display="Bakgrunn til sats" xr:uid="{00000000-0004-0000-0300-00001E000000}"/>
    <hyperlink ref="I55" location="Helsedirektoratet_2020" display="Helsedirektoratet (2020)" xr:uid="{00000000-0004-0000-0300-00001F000000}"/>
    <hyperlink ref="L55" location="'Enhetskostnader-Forutsetninger'!A1" display="Bakgrunn til sats" xr:uid="{00000000-0004-0000-0300-000020000000}"/>
    <hyperlink ref="L39" location="'Enhetskostnader-Forutsetninger'!A1" display="Bakgrunn til sats" xr:uid="{00000000-0004-0000-0300-000022000000}"/>
    <hyperlink ref="I34:I35" location="Legeforeningen_2019" display="Legeforeningen (2019)" xr:uid="{00000000-0004-0000-0300-000023000000}"/>
    <hyperlink ref="L34:L35" location="'Enhetskostnader-Forutsetninger'!A1" display="Bakgrunn til sats" xr:uid="{00000000-0004-0000-0300-000024000000}"/>
    <hyperlink ref="I35" location="Legeforeningen_2019_1" display="Legeforeningen (2019)" xr:uid="{00000000-0004-0000-0300-000025000000}"/>
    <hyperlink ref="I41" location="Helsedirektoratet_2020_1" display="Helsedirektoratet (2020)" xr:uid="{00000000-0004-0000-0300-000026000000}"/>
    <hyperlink ref="I42" location="Helsedirektoratet_2020_1" display="Helsedirektoratet (2020)" xr:uid="{00000000-0004-0000-0300-000027000000}"/>
    <hyperlink ref="I22:I27" location="SLV_2020" display="SSB (2020), SLV (2020)" xr:uid="{00000000-0004-0000-0300-000012000000}"/>
    <hyperlink ref="I48:I52" location="Helsedirektoratet_2022" display="Helsedirektoratet_2022" xr:uid="{B7BE2CF3-4C5F-41B8-A05C-9A399F77CE06}"/>
    <hyperlink ref="I29" location="DMP_2024" display="DMP (2024)" xr:uid="{FA54F348-7FE2-43A0-9096-C00A27798664}"/>
    <hyperlink ref="I47" location="Helsedirektoratet_2022" display="Helsedirektoratet_2022" xr:uid="{BD2ABF41-ED64-4099-A9C0-FCA29DC9E66B}"/>
    <hyperlink ref="I30" location="DMP_2024" display="DMP (2024)" xr:uid="{A69DD6D9-E217-4335-947E-22766FF21EE3}"/>
    <hyperlink ref="I39" location="DMP_2024" display="DMP (2024)" xr:uid="{E8FC2E9C-EC9E-4DE9-B391-61DDC36FD215}"/>
    <hyperlink ref="I19" location="DMP_2024" display="DMP (2024)" xr:uid="{80B12059-3236-4146-BE8E-F0A65976858A}"/>
    <hyperlink ref="I46" location="Helsedirektoratet_2022" display="Helsedirektoratet_2022" xr:uid="{9D9EF922-234A-4AD1-B6A3-1F3D2107B60D}"/>
    <hyperlink ref="I45" location="Helsedirektoratet_2022" display="Helsedirektoratet_2022" xr:uid="{FCFA108F-68F7-46A9-B1F7-2BB7EB173189}"/>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1C6D1"/>
  </sheetPr>
  <dimension ref="A3:K29"/>
  <sheetViews>
    <sheetView showGridLines="0" topLeftCell="A2" zoomScale="85" zoomScaleNormal="85" workbookViewId="0">
      <pane ySplit="9" topLeftCell="A22" activePane="bottomLeft" state="frozen"/>
      <selection pane="bottomLeft" activeCell="I29" sqref="I29"/>
      <selection activeCell="A2" sqref="A2"/>
    </sheetView>
  </sheetViews>
  <sheetFormatPr defaultColWidth="11.42578125" defaultRowHeight="14.45"/>
  <cols>
    <col min="1" max="1" width="36.85546875" customWidth="1"/>
    <col min="2" max="2" width="43.85546875" bestFit="1" customWidth="1"/>
    <col min="7" max="7" width="37.42578125" customWidth="1"/>
    <col min="9" max="9" width="23.28515625" bestFit="1" customWidth="1"/>
    <col min="10" max="10" width="11.42578125" style="93"/>
    <col min="11" max="11" width="15.140625" customWidth="1"/>
  </cols>
  <sheetData>
    <row r="3" spans="1:11" ht="15" thickBot="1"/>
    <row r="4" spans="1:11" ht="18.600000000000001">
      <c r="A4" s="49" t="s">
        <v>104</v>
      </c>
      <c r="B4" s="50"/>
    </row>
    <row r="5" spans="1:11">
      <c r="A5" s="46" t="s">
        <v>187</v>
      </c>
      <c r="B5" s="22" t="s">
        <v>106</v>
      </c>
    </row>
    <row r="6" spans="1:11" ht="15" thickBot="1">
      <c r="A6" s="47" t="s">
        <v>188</v>
      </c>
      <c r="B6" s="48" t="s">
        <v>189</v>
      </c>
    </row>
    <row r="8" spans="1:11" ht="15" thickBot="1"/>
    <row r="9" spans="1:11" ht="21">
      <c r="B9" s="6" t="s">
        <v>190</v>
      </c>
      <c r="C9" s="7"/>
      <c r="D9" s="51"/>
      <c r="E9" s="2"/>
      <c r="G9" s="6" t="s">
        <v>191</v>
      </c>
      <c r="H9" s="31"/>
      <c r="I9" s="32"/>
      <c r="J9" s="94" t="s">
        <v>192</v>
      </c>
      <c r="K9" s="33"/>
    </row>
    <row r="10" spans="1:11" ht="21">
      <c r="B10" s="53"/>
      <c r="C10" s="45"/>
      <c r="D10" s="55" t="s">
        <v>113</v>
      </c>
      <c r="E10" s="52" t="s">
        <v>193</v>
      </c>
      <c r="G10" s="28" t="s">
        <v>115</v>
      </c>
      <c r="H10" s="37" t="s">
        <v>50</v>
      </c>
      <c r="I10" s="37" t="s">
        <v>194</v>
      </c>
      <c r="J10" s="95" t="s">
        <v>18</v>
      </c>
      <c r="K10" s="29" t="s">
        <v>195</v>
      </c>
    </row>
    <row r="11" spans="1:11" ht="18.600000000000001">
      <c r="B11" s="30" t="s">
        <v>196</v>
      </c>
      <c r="C11" s="55"/>
      <c r="D11" s="55"/>
      <c r="E11" s="52"/>
      <c r="G11" s="28"/>
      <c r="H11" s="37"/>
      <c r="I11" s="37"/>
      <c r="J11" s="95"/>
      <c r="K11" s="29"/>
    </row>
    <row r="12" spans="1:11">
      <c r="B12" s="34" t="s">
        <v>197</v>
      </c>
      <c r="C12" s="141"/>
      <c r="D12" s="141"/>
      <c r="E12" s="145"/>
      <c r="G12" s="34"/>
      <c r="H12" s="107"/>
      <c r="I12" s="107"/>
      <c r="J12" s="110"/>
      <c r="K12" s="109"/>
    </row>
    <row r="13" spans="1:11">
      <c r="B13" s="9" t="s">
        <v>198</v>
      </c>
      <c r="C13" s="54">
        <v>0.04</v>
      </c>
      <c r="D13" s="10" t="s">
        <v>199</v>
      </c>
      <c r="E13" s="11">
        <v>2014</v>
      </c>
      <c r="G13" s="58" t="s">
        <v>200</v>
      </c>
      <c r="H13" s="10" t="s">
        <v>201</v>
      </c>
      <c r="I13" s="10" t="s">
        <v>202</v>
      </c>
      <c r="J13" s="56">
        <v>43907</v>
      </c>
      <c r="K13" s="152" t="s">
        <v>126</v>
      </c>
    </row>
    <row r="14" spans="1:11">
      <c r="B14" s="9" t="s">
        <v>203</v>
      </c>
      <c r="C14" s="54">
        <v>0.03</v>
      </c>
      <c r="D14" s="10" t="s">
        <v>199</v>
      </c>
      <c r="E14" s="11">
        <v>2014</v>
      </c>
      <c r="G14" s="58" t="s">
        <v>200</v>
      </c>
      <c r="H14" s="10"/>
      <c r="I14" s="10" t="s">
        <v>204</v>
      </c>
      <c r="J14" s="56">
        <v>43907</v>
      </c>
      <c r="K14" s="152" t="s">
        <v>126</v>
      </c>
    </row>
    <row r="15" spans="1:11">
      <c r="B15" s="9" t="s">
        <v>205</v>
      </c>
      <c r="C15" s="54">
        <v>0.02</v>
      </c>
      <c r="D15" s="10" t="s">
        <v>199</v>
      </c>
      <c r="E15" s="11">
        <v>2014</v>
      </c>
      <c r="G15" s="58" t="s">
        <v>200</v>
      </c>
      <c r="H15" s="10"/>
      <c r="I15" s="10"/>
      <c r="J15" s="56">
        <v>43907</v>
      </c>
      <c r="K15" s="152" t="s">
        <v>126</v>
      </c>
    </row>
    <row r="16" spans="1:11">
      <c r="B16" s="34" t="s">
        <v>206</v>
      </c>
      <c r="C16" s="141"/>
      <c r="D16" s="141"/>
      <c r="E16" s="145"/>
      <c r="G16" s="34"/>
      <c r="H16" s="107"/>
      <c r="I16" s="107"/>
      <c r="J16" s="110"/>
      <c r="K16" s="145"/>
    </row>
    <row r="17" spans="1:11">
      <c r="B17" s="9" t="s">
        <v>207</v>
      </c>
      <c r="C17" s="54">
        <v>0.02</v>
      </c>
      <c r="D17" s="10"/>
      <c r="E17" s="11">
        <v>2020</v>
      </c>
      <c r="G17" s="58" t="s">
        <v>71</v>
      </c>
      <c r="H17" s="10" t="s">
        <v>208</v>
      </c>
      <c r="I17" s="10" t="s">
        <v>209</v>
      </c>
      <c r="J17" s="56">
        <v>43922</v>
      </c>
      <c r="K17" s="152" t="s">
        <v>126</v>
      </c>
    </row>
    <row r="18" spans="1:11">
      <c r="B18" s="9" t="s">
        <v>210</v>
      </c>
      <c r="C18" s="192">
        <v>8.9999999999999993E-3</v>
      </c>
      <c r="D18" s="67"/>
      <c r="E18" s="178">
        <v>2021</v>
      </c>
      <c r="G18" s="58" t="str">
        <f>Regjeringen_2021</f>
        <v>Regjeringen (2021)</v>
      </c>
      <c r="H18" s="10" t="s">
        <v>211</v>
      </c>
      <c r="I18" s="67" t="s">
        <v>212</v>
      </c>
      <c r="J18" s="177">
        <v>44733</v>
      </c>
      <c r="K18" s="185" t="s">
        <v>213</v>
      </c>
    </row>
    <row r="19" spans="1:11" ht="18.600000000000001">
      <c r="B19" s="30" t="str">
        <f>'1.1 Enhetskostnader'!B11</f>
        <v>Verdien av tid</v>
      </c>
      <c r="C19" s="45"/>
      <c r="D19" s="45"/>
      <c r="E19" s="4"/>
      <c r="G19" s="3"/>
      <c r="H19" s="45"/>
      <c r="I19" s="45"/>
      <c r="J19" s="97"/>
      <c r="K19" s="153"/>
    </row>
    <row r="20" spans="1:11">
      <c r="A20" s="70"/>
      <c r="B20" s="9" t="s">
        <v>214</v>
      </c>
      <c r="C20" s="54">
        <v>0.13</v>
      </c>
      <c r="D20" s="10" t="s">
        <v>199</v>
      </c>
      <c r="E20" s="11">
        <v>2020</v>
      </c>
      <c r="G20" s="58" t="s">
        <v>83</v>
      </c>
      <c r="H20" s="10" t="s">
        <v>215</v>
      </c>
      <c r="I20" s="10"/>
      <c r="J20" s="56">
        <v>43937</v>
      </c>
      <c r="K20" s="152" t="s">
        <v>126</v>
      </c>
    </row>
    <row r="21" spans="1:11">
      <c r="A21" s="70"/>
      <c r="B21" s="9" t="s">
        <v>216</v>
      </c>
      <c r="C21" s="54">
        <v>0.25</v>
      </c>
      <c r="D21" s="10" t="s">
        <v>199</v>
      </c>
      <c r="E21" s="11">
        <v>2020</v>
      </c>
      <c r="G21" s="58" t="s">
        <v>89</v>
      </c>
      <c r="H21" s="10" t="s">
        <v>217</v>
      </c>
      <c r="I21" s="10"/>
      <c r="J21" s="56">
        <v>43921</v>
      </c>
      <c r="K21" s="152" t="s">
        <v>126</v>
      </c>
    </row>
    <row r="22" spans="1:11">
      <c r="A22" s="70"/>
      <c r="B22" s="9" t="s">
        <v>218</v>
      </c>
      <c r="C22" s="113">
        <v>0.27</v>
      </c>
      <c r="D22" s="10" t="s">
        <v>199</v>
      </c>
      <c r="E22" s="11">
        <v>2020</v>
      </c>
      <c r="G22" s="58" t="s">
        <v>89</v>
      </c>
      <c r="H22" s="10" t="s">
        <v>219</v>
      </c>
      <c r="I22" s="10"/>
      <c r="J22" s="56">
        <v>43921</v>
      </c>
      <c r="K22" s="152" t="s">
        <v>126</v>
      </c>
    </row>
    <row r="23" spans="1:11" ht="18.600000000000001">
      <c r="B23" s="30" t="str">
        <f>'1.1 Enhetskostnader'!B28</f>
        <v>Infusjon</v>
      </c>
      <c r="C23" s="45"/>
      <c r="D23" s="45"/>
      <c r="E23" s="4"/>
      <c r="G23" s="3"/>
      <c r="H23" s="45"/>
      <c r="I23" s="45"/>
      <c r="J23" s="97"/>
      <c r="K23" s="153"/>
    </row>
    <row r="24" spans="1:11">
      <c r="B24" s="9" t="s">
        <v>220</v>
      </c>
      <c r="C24" s="54">
        <v>0.25</v>
      </c>
      <c r="D24" s="10" t="s">
        <v>221</v>
      </c>
      <c r="E24" s="11">
        <v>2018</v>
      </c>
      <c r="G24" s="58" t="s">
        <v>89</v>
      </c>
      <c r="H24" s="10" t="s">
        <v>222</v>
      </c>
      <c r="I24" s="10"/>
      <c r="J24" s="56">
        <v>43920</v>
      </c>
      <c r="K24" s="152" t="s">
        <v>126</v>
      </c>
    </row>
    <row r="25" spans="1:11">
      <c r="B25" s="9" t="s">
        <v>223</v>
      </c>
      <c r="C25" s="44">
        <v>0.25</v>
      </c>
      <c r="D25" s="10" t="s">
        <v>224</v>
      </c>
      <c r="E25" s="11">
        <v>2018</v>
      </c>
      <c r="G25" s="58" t="s">
        <v>89</v>
      </c>
      <c r="H25" s="10" t="s">
        <v>225</v>
      </c>
      <c r="I25" s="10"/>
      <c r="J25" s="56">
        <v>43920</v>
      </c>
      <c r="K25" s="152" t="s">
        <v>126</v>
      </c>
    </row>
    <row r="26" spans="1:11" ht="18.600000000000001">
      <c r="B26" s="72" t="str">
        <f>'1.1 Enhetskostnader'!B31</f>
        <v>Konsultasjon</v>
      </c>
      <c r="C26" s="118"/>
      <c r="D26" s="118"/>
      <c r="E26" s="119"/>
      <c r="G26" s="117"/>
      <c r="H26" s="118"/>
      <c r="I26" s="118"/>
      <c r="J26" s="120"/>
      <c r="K26" s="154"/>
    </row>
    <row r="27" spans="1:11">
      <c r="A27" s="70"/>
      <c r="B27" s="9" t="s">
        <v>226</v>
      </c>
      <c r="C27" s="44">
        <v>2</v>
      </c>
      <c r="D27" s="10" t="s">
        <v>227</v>
      </c>
      <c r="E27" s="11">
        <v>2018</v>
      </c>
      <c r="G27" s="58" t="s">
        <v>228</v>
      </c>
      <c r="H27" s="67" t="s">
        <v>229</v>
      </c>
      <c r="I27" s="10"/>
      <c r="J27" s="56">
        <v>43937</v>
      </c>
      <c r="K27" s="152" t="s">
        <v>126</v>
      </c>
    </row>
    <row r="28" spans="1:11">
      <c r="B28" s="63" t="str">
        <f>""&amp;'1.1 Enhetskostnader'!B43&amp;" - kode"</f>
        <v>DRG - kode</v>
      </c>
      <c r="C28" s="118"/>
      <c r="D28" s="118"/>
      <c r="E28" s="119"/>
      <c r="G28" s="117"/>
      <c r="H28" s="118"/>
      <c r="I28" s="118"/>
      <c r="J28" s="120"/>
      <c r="K28" s="119"/>
    </row>
    <row r="29" spans="1:11" ht="15" thickBot="1">
      <c r="B29" s="40" t="s">
        <v>230</v>
      </c>
      <c r="C29" s="196">
        <v>9.8000000000000004E-2</v>
      </c>
      <c r="D29" s="197" t="s">
        <v>231</v>
      </c>
      <c r="E29" s="198">
        <v>2022</v>
      </c>
      <c r="G29" s="172" t="str">
        <f>Helsedirektoratet_2022</f>
        <v>Helsedirektoratet (2022)</v>
      </c>
      <c r="H29" s="41" t="s">
        <v>232</v>
      </c>
      <c r="I29" s="41"/>
      <c r="J29" s="194">
        <v>44733</v>
      </c>
      <c r="K29" s="195" t="s">
        <v>213</v>
      </c>
    </row>
  </sheetData>
  <hyperlinks>
    <hyperlink ref="G13" location="NOU__2012" display="NOU (2012), s. 75" xr:uid="{00000000-0004-0000-0400-000002000000}"/>
    <hyperlink ref="G14" location="NOU__2012" display="NOU (2012), s. 75" xr:uid="{00000000-0004-0000-0400-000003000000}"/>
    <hyperlink ref="G15" location="NOU__2012" display="NOU (2012), s. 75" xr:uid="{00000000-0004-0000-0400-000004000000}"/>
    <hyperlink ref="G20" location="DFØ_2018" display="Skatteetaten (2020), DFØ (2018) s. 100" xr:uid="{00000000-0004-0000-0400-000005000000}"/>
    <hyperlink ref="G21" location="DMP_2024" display="DMP (2024)" xr:uid="{00000000-0004-0000-0400-000006000000}"/>
    <hyperlink ref="G17" location="Norgesbank_2020" display="Norges Bank (2020)" xr:uid="{00000000-0004-0000-0400-000008000000}"/>
    <hyperlink ref="G18" location="Regjeringen_2021" display="Regjeringen_2021" xr:uid="{00000000-0004-0000-0400-000009000000}"/>
    <hyperlink ref="G29" location="Helsedirektoratet_2022" display="Helsedirektoratet_2022" xr:uid="{00000000-0004-0000-0400-00000A000000}"/>
    <hyperlink ref="G22" location="DMP_2024" display="DMP (2024)" xr:uid="{44B2A006-E301-4B72-BBC7-761DCC0BD67D}"/>
    <hyperlink ref="G24" location="DMP_2024" display="DMP (2024)" xr:uid="{1E8A87AE-ED5C-452C-A980-D13F1E945836}"/>
    <hyperlink ref="G25" location="DMP_2024" display="DMP (2024)" xr:uid="{FBF2BF26-DF3F-46B2-AF51-D2C511723614}"/>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6EFF2"/>
  </sheetPr>
  <dimension ref="A1:W41"/>
  <sheetViews>
    <sheetView showGridLines="0" zoomScaleNormal="100" workbookViewId="0">
      <pane ySplit="7" topLeftCell="A52" activePane="bottomLeft" state="frozen"/>
      <selection pane="bottomLeft" activeCell="A52" sqref="A52"/>
    </sheetView>
  </sheetViews>
  <sheetFormatPr defaultColWidth="11.42578125" defaultRowHeight="14.45"/>
  <cols>
    <col min="1" max="1" width="23.42578125" customWidth="1"/>
    <col min="2" max="2" width="51.85546875" style="9" customWidth="1"/>
    <col min="3" max="3" width="17.7109375" style="10" bestFit="1" customWidth="1"/>
    <col min="4" max="4" width="10.5703125" style="127" bestFit="1" customWidth="1"/>
    <col min="5" max="5" width="11.42578125" style="127"/>
    <col min="6" max="6" width="13.5703125" style="127" bestFit="1" customWidth="1"/>
    <col min="7" max="7" width="11.5703125" style="127" bestFit="1" customWidth="1"/>
    <col min="8" max="11" width="11.42578125" style="127"/>
    <col min="12" max="22" width="11.42578125" style="10"/>
    <col min="23" max="23" width="14.5703125" style="11" bestFit="1" customWidth="1"/>
  </cols>
  <sheetData>
    <row r="1" spans="1:23">
      <c r="B1"/>
      <c r="C1"/>
      <c r="D1" s="125"/>
      <c r="E1" s="125"/>
      <c r="F1" s="125"/>
      <c r="G1" s="125"/>
      <c r="H1" s="125"/>
      <c r="I1" s="125"/>
      <c r="J1" s="125"/>
      <c r="K1" s="125"/>
      <c r="L1"/>
      <c r="M1"/>
      <c r="N1"/>
      <c r="O1"/>
      <c r="P1"/>
      <c r="Q1"/>
      <c r="R1"/>
      <c r="S1"/>
      <c r="T1"/>
      <c r="U1"/>
      <c r="V1"/>
      <c r="W1"/>
    </row>
    <row r="2" spans="1:23">
      <c r="B2"/>
      <c r="C2"/>
      <c r="D2" s="125"/>
      <c r="E2" s="125"/>
      <c r="F2" s="125"/>
      <c r="G2" s="125"/>
      <c r="H2" s="125"/>
      <c r="I2" s="125"/>
      <c r="J2" s="125"/>
      <c r="K2" s="125"/>
      <c r="L2"/>
      <c r="M2"/>
      <c r="N2"/>
      <c r="O2"/>
      <c r="P2"/>
      <c r="Q2"/>
      <c r="R2"/>
      <c r="S2"/>
      <c r="T2"/>
      <c r="U2"/>
      <c r="V2"/>
      <c r="W2"/>
    </row>
    <row r="3" spans="1:23">
      <c r="B3"/>
      <c r="C3"/>
      <c r="D3" s="125"/>
      <c r="E3" s="125"/>
      <c r="F3" s="125"/>
      <c r="G3" s="125"/>
      <c r="H3" s="125"/>
      <c r="I3" s="125"/>
      <c r="J3" s="125"/>
      <c r="K3" s="125"/>
      <c r="L3"/>
      <c r="M3"/>
      <c r="N3"/>
      <c r="O3"/>
      <c r="P3"/>
      <c r="Q3"/>
      <c r="R3"/>
      <c r="S3"/>
      <c r="T3"/>
      <c r="U3"/>
      <c r="V3"/>
      <c r="W3"/>
    </row>
    <row r="4" spans="1:23">
      <c r="B4"/>
      <c r="C4"/>
      <c r="D4" s="125"/>
      <c r="E4" s="125"/>
      <c r="F4" s="125"/>
      <c r="G4" s="125"/>
      <c r="H4" s="125"/>
      <c r="I4" s="125"/>
      <c r="J4" s="125"/>
      <c r="K4" s="125"/>
      <c r="L4"/>
      <c r="M4"/>
      <c r="N4"/>
      <c r="O4"/>
      <c r="P4"/>
      <c r="Q4"/>
      <c r="R4"/>
      <c r="S4"/>
      <c r="T4"/>
      <c r="U4"/>
      <c r="V4"/>
      <c r="W4"/>
    </row>
    <row r="5" spans="1:23">
      <c r="B5"/>
      <c r="C5"/>
      <c r="D5" s="125"/>
      <c r="E5" s="125"/>
      <c r="F5" s="125"/>
      <c r="G5" s="125"/>
      <c r="H5" s="125"/>
      <c r="I5" s="125"/>
      <c r="J5" s="125"/>
      <c r="K5" s="125"/>
      <c r="L5"/>
      <c r="M5"/>
      <c r="N5"/>
      <c r="O5"/>
      <c r="P5"/>
      <c r="Q5"/>
      <c r="R5"/>
      <c r="S5"/>
      <c r="T5"/>
      <c r="U5"/>
      <c r="V5"/>
      <c r="W5"/>
    </row>
    <row r="6" spans="1:23" ht="15" thickBot="1">
      <c r="B6"/>
      <c r="C6"/>
      <c r="D6" s="125"/>
      <c r="E6" s="125"/>
      <c r="F6" s="125"/>
      <c r="G6" s="125"/>
      <c r="H6" s="125"/>
      <c r="I6" s="125"/>
      <c r="J6" s="125"/>
      <c r="K6" s="125"/>
      <c r="L6"/>
      <c r="M6"/>
      <c r="N6"/>
      <c r="O6"/>
      <c r="P6"/>
      <c r="Q6"/>
      <c r="R6"/>
      <c r="S6"/>
      <c r="T6"/>
      <c r="U6"/>
      <c r="V6"/>
      <c r="W6"/>
    </row>
    <row r="7" spans="1:23" ht="21">
      <c r="B7" s="75" t="s">
        <v>233</v>
      </c>
      <c r="C7" s="146" t="s">
        <v>234</v>
      </c>
      <c r="D7" s="147" t="s">
        <v>113</v>
      </c>
      <c r="E7" s="147" t="s">
        <v>235</v>
      </c>
      <c r="F7" s="148"/>
      <c r="G7" s="147"/>
      <c r="H7" s="148"/>
      <c r="I7" s="147"/>
      <c r="J7" s="148"/>
      <c r="K7" s="147"/>
      <c r="L7" s="149"/>
      <c r="M7" s="147"/>
      <c r="N7" s="149"/>
      <c r="O7" s="147"/>
      <c r="P7" s="149"/>
      <c r="Q7" s="147"/>
      <c r="R7" s="147"/>
      <c r="S7" s="147"/>
      <c r="T7" s="147"/>
      <c r="U7" s="147"/>
      <c r="V7" s="147"/>
      <c r="W7" s="69" t="s">
        <v>50</v>
      </c>
    </row>
    <row r="8" spans="1:23" ht="18.600000000000001">
      <c r="B8" s="72" t="str">
        <f>'1.1 Enhetskostnader'!$B$11</f>
        <v>Verdien av tid</v>
      </c>
      <c r="C8" s="77"/>
      <c r="D8" s="78"/>
      <c r="E8" s="78"/>
      <c r="F8" s="129"/>
      <c r="G8" s="79"/>
      <c r="H8" s="130"/>
      <c r="I8" s="79"/>
      <c r="J8" s="130"/>
      <c r="K8" s="81"/>
      <c r="L8" s="80"/>
      <c r="M8" s="79"/>
      <c r="N8" s="80"/>
      <c r="O8" s="79"/>
      <c r="P8" s="80"/>
      <c r="Q8" s="79"/>
      <c r="R8" s="79"/>
      <c r="S8" s="79"/>
      <c r="T8" s="79"/>
      <c r="U8" s="79"/>
      <c r="V8" s="79"/>
      <c r="W8" s="76"/>
    </row>
    <row r="9" spans="1:23">
      <c r="B9" s="34" t="str">
        <f>'1.1 Enhetskostnader'!B12</f>
        <v xml:space="preserve">Lege </v>
      </c>
      <c r="C9" s="38"/>
      <c r="D9" s="126"/>
      <c r="E9" s="126"/>
      <c r="F9" s="126"/>
      <c r="G9" s="126"/>
      <c r="H9" s="126"/>
      <c r="I9" s="126"/>
      <c r="J9" s="126"/>
      <c r="K9" s="126"/>
      <c r="L9" s="39"/>
      <c r="M9" s="39"/>
      <c r="N9" s="39"/>
      <c r="O9" s="39"/>
      <c r="P9" s="39"/>
      <c r="Q9" s="39"/>
      <c r="R9" s="39"/>
      <c r="S9" s="39"/>
      <c r="T9" s="39"/>
      <c r="U9" s="39"/>
      <c r="V9" s="39"/>
      <c r="W9" s="35"/>
    </row>
    <row r="10" spans="1:23">
      <c r="A10" s="70"/>
      <c r="B10" s="9" t="str">
        <f>'1.1 Enhetskostnader'!B13</f>
        <v>Lege (Allmennpraktiserende)</v>
      </c>
      <c r="C10" s="101">
        <f>F10/(G10/H10)*(1+I10+J10)</f>
        <v>701.34712781954886</v>
      </c>
      <c r="D10" s="127" t="s">
        <v>236</v>
      </c>
      <c r="E10" s="127">
        <v>2019</v>
      </c>
      <c r="F10" s="131">
        <v>70410</v>
      </c>
      <c r="G10" s="127">
        <v>1662.5</v>
      </c>
      <c r="H10" s="132">
        <v>12</v>
      </c>
      <c r="I10" s="133">
        <f>Arbeidsgiveravgift</f>
        <v>0.13</v>
      </c>
      <c r="J10" s="133">
        <f>Sosialekostnader</f>
        <v>0.25</v>
      </c>
    </row>
    <row r="11" spans="1:23">
      <c r="A11" s="70"/>
      <c r="B11" s="9" t="str">
        <f>'1.1 Enhetskostnader'!B14</f>
        <v>Lege (spesialist)</v>
      </c>
      <c r="C11" s="101">
        <f>F11/(G11/H11)*(1+I11+J11)</f>
        <v>848.46965413533837</v>
      </c>
      <c r="D11" s="127" t="s">
        <v>236</v>
      </c>
      <c r="E11" s="127">
        <v>2019</v>
      </c>
      <c r="F11" s="131">
        <v>85180</v>
      </c>
      <c r="G11" s="127">
        <v>1662.5</v>
      </c>
      <c r="H11" s="132">
        <v>12</v>
      </c>
      <c r="I11" s="133">
        <f>Arbeidsgiveravgift</f>
        <v>0.13</v>
      </c>
      <c r="J11" s="133">
        <f>Sosialekostnader</f>
        <v>0.25</v>
      </c>
    </row>
    <row r="12" spans="1:23">
      <c r="B12" s="34" t="str">
        <f>'1.1 Enhetskostnader'!B15</f>
        <v xml:space="preserve">Sykepleier </v>
      </c>
      <c r="C12" s="38"/>
      <c r="D12" s="126"/>
      <c r="E12" s="126"/>
      <c r="F12" s="126"/>
      <c r="G12" s="126"/>
      <c r="H12" s="126"/>
      <c r="I12" s="126"/>
      <c r="J12" s="126"/>
      <c r="K12" s="126"/>
      <c r="L12" s="39"/>
      <c r="M12" s="39"/>
      <c r="N12" s="39"/>
      <c r="O12" s="39"/>
      <c r="P12" s="39"/>
      <c r="Q12" s="39"/>
      <c r="R12" s="39"/>
      <c r="S12" s="39"/>
      <c r="T12" s="39"/>
      <c r="U12" s="39"/>
      <c r="V12" s="39"/>
      <c r="W12" s="35"/>
    </row>
    <row r="13" spans="1:23">
      <c r="A13" s="70"/>
      <c r="B13" s="9" t="str">
        <f>'1.1 Enhetskostnader'!B16</f>
        <v>Spesialsykepleier</v>
      </c>
      <c r="C13" s="101">
        <f>F13/(G13/H13)*(1+I13+J13)</f>
        <v>499.14081203007521</v>
      </c>
      <c r="D13" s="127" t="s">
        <v>236</v>
      </c>
      <c r="E13" s="127">
        <v>2019</v>
      </c>
      <c r="F13" s="131">
        <v>50110</v>
      </c>
      <c r="G13" s="127">
        <v>1662.5</v>
      </c>
      <c r="H13" s="132">
        <v>12</v>
      </c>
      <c r="I13" s="133">
        <f>Arbeidsgiveravgift</f>
        <v>0.13</v>
      </c>
      <c r="J13" s="133">
        <f>Sosialekostnader</f>
        <v>0.25</v>
      </c>
    </row>
    <row r="14" spans="1:23">
      <c r="A14" s="70"/>
      <c r="B14" s="9" t="str">
        <f>'1.1 Enhetskostnader'!B17</f>
        <v>Sykepleier</v>
      </c>
      <c r="C14" s="101">
        <f>F14/(G14/H14)*(1+I14+J14)</f>
        <v>466.26983458646617</v>
      </c>
      <c r="D14" s="127" t="s">
        <v>236</v>
      </c>
      <c r="E14" s="127">
        <v>2019</v>
      </c>
      <c r="F14" s="131">
        <v>46810</v>
      </c>
      <c r="G14" s="127">
        <v>1662.5</v>
      </c>
      <c r="H14" s="132">
        <v>12</v>
      </c>
      <c r="I14" s="133">
        <f>Arbeidsgiveravgift</f>
        <v>0.13</v>
      </c>
      <c r="J14" s="133">
        <f>Sosialekostnader</f>
        <v>0.25</v>
      </c>
    </row>
    <row r="15" spans="1:23">
      <c r="A15" s="70"/>
      <c r="B15" s="34" t="str">
        <f>'1.1 Enhetskostnader'!B18</f>
        <v>Pasient og pårørende</v>
      </c>
      <c r="C15" s="111"/>
      <c r="D15" s="126"/>
      <c r="E15" s="126"/>
      <c r="F15" s="134"/>
      <c r="G15" s="126"/>
      <c r="H15" s="135"/>
      <c r="I15" s="136"/>
      <c r="J15" s="136"/>
      <c r="K15" s="126"/>
      <c r="L15" s="39"/>
      <c r="M15" s="39"/>
      <c r="N15" s="39"/>
      <c r="O15" s="39"/>
      <c r="P15" s="39"/>
      <c r="Q15" s="39"/>
      <c r="R15" s="39"/>
      <c r="S15" s="39"/>
      <c r="T15" s="39"/>
      <c r="U15" s="39"/>
      <c r="V15" s="39"/>
      <c r="W15" s="35"/>
    </row>
    <row r="16" spans="1:23">
      <c r="A16" s="70"/>
      <c r="B16" s="9" t="str">
        <f>'1.1 Enhetskostnader'!B19</f>
        <v>Fritid</v>
      </c>
      <c r="C16" s="101">
        <f>C24</f>
        <v>236.72022857142852</v>
      </c>
      <c r="D16" s="101" t="str">
        <f>D24</f>
        <v>Kr/time</v>
      </c>
      <c r="E16" s="150">
        <f>E24</f>
        <v>2019</v>
      </c>
      <c r="F16" s="131"/>
      <c r="H16" s="132"/>
      <c r="I16" s="133"/>
      <c r="J16" s="133"/>
    </row>
    <row r="17" spans="1:23">
      <c r="A17" s="70"/>
      <c r="B17" s="34" t="str">
        <f>'1.1 Enhetskostnader'!B20</f>
        <v xml:space="preserve">Generelt - menn og kvinner </v>
      </c>
      <c r="C17" s="111"/>
      <c r="D17" s="126"/>
      <c r="E17" s="126"/>
      <c r="F17" s="134"/>
      <c r="G17" s="126"/>
      <c r="H17" s="135"/>
      <c r="I17" s="136"/>
      <c r="J17" s="136"/>
      <c r="K17" s="126"/>
      <c r="L17" s="39"/>
      <c r="M17" s="39"/>
      <c r="N17" s="39"/>
      <c r="O17" s="39"/>
      <c r="P17" s="39"/>
      <c r="Q17" s="39"/>
      <c r="R17" s="39"/>
      <c r="S17" s="39"/>
      <c r="T17" s="39"/>
      <c r="U17" s="39"/>
      <c r="V17" s="39"/>
      <c r="W17" s="35"/>
    </row>
    <row r="18" spans="1:23">
      <c r="A18" s="112"/>
      <c r="B18" s="9" t="str">
        <f>'1.1 Enhetskostnader'!B21</f>
        <v>Lønn (inkl. avgifter og sosiale kostnader) - Per år</v>
      </c>
      <c r="C18" s="101">
        <f>F18*G18*(1+H18+I18)</f>
        <v>783122.39999999991</v>
      </c>
      <c r="D18" s="127" t="s">
        <v>237</v>
      </c>
      <c r="E18" s="127">
        <v>2019</v>
      </c>
      <c r="F18" s="131">
        <v>47290</v>
      </c>
      <c r="G18" s="132">
        <v>12</v>
      </c>
      <c r="H18" s="133">
        <f>Arbeidsgiveravgift</f>
        <v>0.13</v>
      </c>
      <c r="I18" s="133">
        <f>Sosialekostnader</f>
        <v>0.25</v>
      </c>
      <c r="J18" s="133"/>
    </row>
    <row r="19" spans="1:23">
      <c r="A19" s="70"/>
      <c r="B19" s="9" t="str">
        <f>'1.1 Enhetskostnader'!B22</f>
        <v>Lønn (inkl. avgifter og sosiale kostnader) - Per måned</v>
      </c>
      <c r="C19" s="101">
        <f>F19*(1+G19+H19)</f>
        <v>65260.2</v>
      </c>
      <c r="D19" s="127" t="s">
        <v>238</v>
      </c>
      <c r="E19" s="127">
        <v>2019</v>
      </c>
      <c r="F19" s="131">
        <v>47290</v>
      </c>
      <c r="G19" s="133">
        <f>Arbeidsgiveravgift</f>
        <v>0.13</v>
      </c>
      <c r="H19" s="133">
        <f>Sosialekostnader</f>
        <v>0.25</v>
      </c>
      <c r="I19" s="133"/>
      <c r="J19" s="133"/>
    </row>
    <row r="20" spans="1:23">
      <c r="A20" s="70"/>
      <c r="B20" s="9" t="str">
        <f>'1.1 Enhetskostnader'!B23</f>
        <v>Lønn (inkl. avgifter og sosiale kostnader) - Per dag</v>
      </c>
      <c r="C20" s="101">
        <f>((F20/(G20/H20))*I20)*(1+J20+K20)</f>
        <v>3356.2388571428564</v>
      </c>
      <c r="D20" s="127" t="s">
        <v>239</v>
      </c>
      <c r="E20" s="127">
        <v>2019</v>
      </c>
      <c r="F20" s="131">
        <v>47290</v>
      </c>
      <c r="G20" s="127">
        <v>1750</v>
      </c>
      <c r="H20" s="132">
        <v>12</v>
      </c>
      <c r="I20" s="127">
        <v>7.5</v>
      </c>
      <c r="J20" s="133">
        <f>Arbeidsgiveravgift</f>
        <v>0.13</v>
      </c>
      <c r="K20" s="133">
        <f>Sosialekostnader</f>
        <v>0.25</v>
      </c>
    </row>
    <row r="21" spans="1:23">
      <c r="A21" s="70"/>
      <c r="B21" s="9" t="str">
        <f>'1.1 Enhetskostnader'!B24</f>
        <v>Lønn (inkl. avgifter og sosiale kostnader) - Per time</v>
      </c>
      <c r="C21" s="101">
        <f>F21/(G21/H21)*(1+I21+J21)</f>
        <v>447.49851428571418</v>
      </c>
      <c r="D21" s="127" t="s">
        <v>236</v>
      </c>
      <c r="E21" s="127">
        <v>2019</v>
      </c>
      <c r="F21" s="131">
        <v>47290</v>
      </c>
      <c r="G21" s="127">
        <v>1750</v>
      </c>
      <c r="H21" s="132">
        <v>12</v>
      </c>
      <c r="I21" s="133">
        <f>Arbeidsgiveravgift</f>
        <v>0.13</v>
      </c>
      <c r="J21" s="133">
        <f>Sosialekostnader</f>
        <v>0.25</v>
      </c>
    </row>
    <row r="22" spans="1:23">
      <c r="A22" s="70"/>
      <c r="B22" s="9" t="str">
        <f>'1.1 Enhetskostnader'!B25</f>
        <v>Netto lønn - Per måned</v>
      </c>
      <c r="C22" s="101">
        <f>F22*(1-G22)</f>
        <v>34521.699999999997</v>
      </c>
      <c r="D22" s="127" t="s">
        <v>238</v>
      </c>
      <c r="E22" s="127">
        <v>2019</v>
      </c>
      <c r="F22" s="131">
        <v>47290</v>
      </c>
      <c r="G22" s="133">
        <f>Skattesats_lønn</f>
        <v>0.27</v>
      </c>
      <c r="H22" s="132"/>
      <c r="I22" s="133"/>
      <c r="J22" s="133"/>
    </row>
    <row r="23" spans="1:23">
      <c r="A23" s="70"/>
      <c r="B23" s="9" t="str">
        <f>'1.1 Enhetskostnader'!B26</f>
        <v>Netto lønn - Per dag</v>
      </c>
      <c r="C23" s="115">
        <f>(F23/(G23/H23)*I23)*(1-J23)</f>
        <v>1775.401714285714</v>
      </c>
      <c r="D23" s="127" t="s">
        <v>239</v>
      </c>
      <c r="E23" s="127">
        <v>2019</v>
      </c>
      <c r="F23" s="131">
        <v>47290</v>
      </c>
      <c r="G23" s="127">
        <v>1750</v>
      </c>
      <c r="H23" s="132">
        <v>12</v>
      </c>
      <c r="I23" s="127">
        <v>7.5</v>
      </c>
      <c r="J23" s="133">
        <f>Skattesats_lønn</f>
        <v>0.27</v>
      </c>
    </row>
    <row r="24" spans="1:23">
      <c r="A24" s="70"/>
      <c r="B24" s="9" t="str">
        <f>'1.1 Enhetskostnader'!B27</f>
        <v>Netto lønn - Per time</v>
      </c>
      <c r="C24" s="115">
        <f>F24/(G24/H24)*(1-I24)</f>
        <v>236.72022857142852</v>
      </c>
      <c r="D24" s="127" t="s">
        <v>236</v>
      </c>
      <c r="E24" s="127">
        <v>2019</v>
      </c>
      <c r="F24" s="131">
        <v>47290</v>
      </c>
      <c r="G24" s="127">
        <v>1750</v>
      </c>
      <c r="H24" s="132">
        <v>12</v>
      </c>
      <c r="I24" s="133">
        <f>Skattesats_lønn</f>
        <v>0.27</v>
      </c>
      <c r="J24" s="133"/>
    </row>
    <row r="25" spans="1:23" ht="18.600000000000001">
      <c r="B25" s="30" t="str">
        <f>'1.1 Enhetskostnader'!B28</f>
        <v>Infusjon</v>
      </c>
      <c r="C25" s="45"/>
      <c r="D25" s="128"/>
      <c r="E25" s="128"/>
      <c r="F25" s="128"/>
      <c r="G25" s="128"/>
      <c r="H25" s="128"/>
      <c r="I25" s="128"/>
      <c r="J25" s="128"/>
      <c r="K25" s="128"/>
      <c r="L25" s="45"/>
      <c r="M25" s="45"/>
      <c r="N25" s="45"/>
      <c r="O25" s="45"/>
      <c r="P25" s="45"/>
      <c r="Q25" s="45"/>
      <c r="R25" s="45"/>
      <c r="S25" s="45"/>
      <c r="T25" s="45"/>
      <c r="U25" s="45"/>
      <c r="V25" s="45"/>
      <c r="W25" s="4"/>
    </row>
    <row r="26" spans="1:23">
      <c r="B26" s="9" t="str">
        <f>'1.1 Enhetskostnader'!B29</f>
        <v>Administrasjon - Intravenøs</v>
      </c>
      <c r="C26" s="90">
        <f>AVERAGE(F26:I26)*(1+J26)</f>
        <v>2973.4375</v>
      </c>
      <c r="D26" s="127" t="s">
        <v>175</v>
      </c>
      <c r="E26" s="127">
        <v>2018</v>
      </c>
      <c r="F26" s="127">
        <v>2367</v>
      </c>
      <c r="G26" s="127">
        <v>2389</v>
      </c>
      <c r="H26" s="127">
        <v>2389</v>
      </c>
      <c r="I26" s="127">
        <v>2370</v>
      </c>
      <c r="J26" s="133">
        <f>Infusjon_Overheadkostnader</f>
        <v>0.25</v>
      </c>
    </row>
    <row r="27" spans="1:23">
      <c r="A27" s="70"/>
      <c r="B27" s="9" t="str">
        <f>'1.1 Enhetskostnader'!B30</f>
        <v>Administrasjon - Subkutan</v>
      </c>
      <c r="C27" s="90">
        <f>(F27+(G27*H27))*(1+I27)</f>
        <v>218.75</v>
      </c>
      <c r="D27" s="127" t="s">
        <v>175</v>
      </c>
      <c r="E27" s="127">
        <v>2018</v>
      </c>
      <c r="F27" s="127">
        <v>25</v>
      </c>
      <c r="G27" s="157">
        <v>600</v>
      </c>
      <c r="H27" s="127">
        <f>Tidsbruk_sykepleier_infusjon</f>
        <v>0.25</v>
      </c>
      <c r="I27" s="133">
        <f>Infusjon_Overheadkostnader</f>
        <v>0.25</v>
      </c>
    </row>
    <row r="28" spans="1:23" ht="18.600000000000001">
      <c r="B28" s="30" t="str">
        <f>'1.1 Enhetskostnader'!B31</f>
        <v>Konsultasjon</v>
      </c>
      <c r="C28" s="45"/>
      <c r="D28" s="128"/>
      <c r="E28" s="128"/>
      <c r="F28" s="128"/>
      <c r="G28" s="128"/>
      <c r="H28" s="128"/>
      <c r="I28" s="128"/>
      <c r="J28" s="128"/>
      <c r="K28" s="128"/>
      <c r="L28" s="45"/>
      <c r="M28" s="45"/>
      <c r="N28" s="45"/>
      <c r="O28" s="45"/>
      <c r="P28" s="45"/>
      <c r="Q28" s="45"/>
      <c r="R28" s="45"/>
      <c r="S28" s="45"/>
      <c r="T28" s="45"/>
      <c r="U28" s="45"/>
      <c r="V28" s="45"/>
      <c r="W28" s="4"/>
    </row>
    <row r="29" spans="1:23">
      <c r="B29" s="9" t="str">
        <f>'1.1 Enhetskostnader'!B32</f>
        <v>Legebesøk - Allmenn</v>
      </c>
      <c r="C29" s="10">
        <f>F29*G29</f>
        <v>320</v>
      </c>
      <c r="D29" s="127" t="s">
        <v>175</v>
      </c>
      <c r="E29" s="127">
        <v>2019</v>
      </c>
      <c r="F29" s="127">
        <v>160</v>
      </c>
      <c r="G29" s="127">
        <f>Konsultasjon_antall</f>
        <v>2</v>
      </c>
    </row>
    <row r="30" spans="1:23">
      <c r="B30" s="9" t="str">
        <f>'1.1 Enhetskostnader'!B33</f>
        <v>Legebesøk - Allmenn  dobbeltime</v>
      </c>
      <c r="C30" s="10">
        <f>F30*G30+H30*I30</f>
        <v>742</v>
      </c>
      <c r="D30" s="127" t="s">
        <v>175</v>
      </c>
      <c r="E30" s="127">
        <v>2019</v>
      </c>
      <c r="F30" s="127">
        <v>211</v>
      </c>
      <c r="G30" s="127">
        <f>Konsultasjon_antall</f>
        <v>2</v>
      </c>
      <c r="H30" s="127">
        <v>160</v>
      </c>
      <c r="I30" s="127">
        <v>2</v>
      </c>
    </row>
    <row r="31" spans="1:23">
      <c r="B31" s="9" t="str">
        <f>'1.1 Enhetskostnader'!B34</f>
        <v>Legebesøk - Spesialist  i allmennmedisin</v>
      </c>
      <c r="C31" s="10">
        <f>(F31+G31)*H31</f>
        <v>518</v>
      </c>
      <c r="D31" s="127" t="s">
        <v>175</v>
      </c>
      <c r="E31" s="127">
        <v>2019</v>
      </c>
      <c r="F31" s="127">
        <v>160</v>
      </c>
      <c r="G31" s="127">
        <v>99</v>
      </c>
      <c r="H31" s="127">
        <f>Konsultasjon_antall</f>
        <v>2</v>
      </c>
    </row>
    <row r="32" spans="1:23">
      <c r="B32" s="9" t="str">
        <f>'1.1 Enhetskostnader'!B35</f>
        <v>Legebesøk - Spesialist (unntatt i allmennmedisin)</v>
      </c>
      <c r="C32" s="10">
        <f>F32*G32</f>
        <v>702</v>
      </c>
      <c r="D32" s="127" t="s">
        <v>175</v>
      </c>
      <c r="E32" s="127">
        <v>2019</v>
      </c>
      <c r="F32" s="127">
        <v>351</v>
      </c>
      <c r="G32" s="127">
        <f>Konsultasjon_antall</f>
        <v>2</v>
      </c>
    </row>
    <row r="33" spans="1:23" ht="18.600000000000001">
      <c r="B33" s="30" t="str">
        <f>'1.1 Enhetskostnader'!B36</f>
        <v>Tester og undersøkelser</v>
      </c>
      <c r="C33" s="45"/>
      <c r="D33" s="128"/>
      <c r="E33" s="128"/>
      <c r="F33" s="128"/>
      <c r="G33" s="128"/>
      <c r="H33" s="128"/>
      <c r="I33" s="128"/>
      <c r="J33" s="128"/>
      <c r="K33" s="128"/>
      <c r="L33" s="45"/>
      <c r="M33" s="45"/>
      <c r="N33" s="45"/>
      <c r="O33" s="45"/>
      <c r="P33" s="45"/>
      <c r="Q33" s="45"/>
      <c r="R33" s="45"/>
      <c r="S33" s="45"/>
      <c r="T33" s="45"/>
      <c r="U33" s="45"/>
      <c r="V33" s="45"/>
      <c r="W33" s="4"/>
    </row>
    <row r="34" spans="1:23">
      <c r="B34" s="9" t="str">
        <f>'1.1 Enhetskostnader'!B37</f>
        <v>Blodprøve</v>
      </c>
      <c r="C34" s="10">
        <f>F34*G34</f>
        <v>120</v>
      </c>
      <c r="D34" s="127" t="s">
        <v>175</v>
      </c>
      <c r="E34" s="127">
        <v>2019</v>
      </c>
      <c r="F34" s="127">
        <v>60</v>
      </c>
      <c r="G34" s="127">
        <f>Konsultasjon_antall</f>
        <v>2</v>
      </c>
    </row>
    <row r="35" spans="1:23" ht="18.600000000000001">
      <c r="B35" s="30" t="str">
        <f>'1.1 Enhetskostnader'!B38</f>
        <v>Reise - transport</v>
      </c>
      <c r="C35" s="45"/>
      <c r="D35" s="128"/>
      <c r="E35" s="128"/>
      <c r="F35" s="128"/>
      <c r="G35" s="128"/>
      <c r="H35" s="128"/>
      <c r="I35" s="128"/>
      <c r="J35" s="128"/>
      <c r="K35" s="128"/>
      <c r="L35" s="45"/>
      <c r="M35" s="45"/>
      <c r="N35" s="45"/>
      <c r="O35" s="45"/>
      <c r="P35" s="45"/>
      <c r="Q35" s="45"/>
      <c r="R35" s="45"/>
      <c r="S35" s="45"/>
      <c r="T35" s="45"/>
      <c r="U35" s="45"/>
      <c r="V35" s="45"/>
      <c r="W35" s="4"/>
    </row>
    <row r="36" spans="1:23" s="70" customFormat="1">
      <c r="B36" s="73" t="str">
        <f>'1.1 Enhetskostnader'!B39</f>
        <v>Pasientreise</v>
      </c>
      <c r="C36" s="186">
        <f>F36/G36</f>
        <v>725.50974659627707</v>
      </c>
      <c r="D36" s="157" t="s">
        <v>240</v>
      </c>
      <c r="E36" s="157">
        <v>2020</v>
      </c>
      <c r="F36" s="187">
        <v>1212247706</v>
      </c>
      <c r="G36" s="187">
        <v>1670891</v>
      </c>
      <c r="H36" s="176"/>
      <c r="I36" s="176"/>
      <c r="J36" s="176"/>
      <c r="K36" s="176"/>
      <c r="L36" s="175"/>
      <c r="M36" s="175"/>
      <c r="N36" s="175"/>
      <c r="O36" s="175"/>
      <c r="P36" s="175"/>
      <c r="Q36" s="175"/>
      <c r="R36" s="175"/>
      <c r="S36" s="175"/>
      <c r="T36" s="175"/>
      <c r="U36" s="175"/>
      <c r="V36" s="175"/>
      <c r="W36" s="89"/>
    </row>
    <row r="37" spans="1:23" ht="18.600000000000001">
      <c r="B37" s="30" t="str">
        <f>'1.1 Enhetskostnader'!B43</f>
        <v>DRG</v>
      </c>
      <c r="C37" s="45"/>
      <c r="D37" s="128"/>
      <c r="E37" s="128"/>
      <c r="F37" s="128"/>
      <c r="G37" s="128"/>
      <c r="H37" s="128"/>
      <c r="I37" s="128"/>
      <c r="J37" s="128"/>
      <c r="K37" s="128"/>
      <c r="L37" s="45"/>
      <c r="M37" s="45"/>
      <c r="N37" s="45"/>
      <c r="O37" s="45"/>
      <c r="P37" s="45"/>
      <c r="Q37" s="45"/>
      <c r="R37" s="45"/>
      <c r="S37" s="45"/>
      <c r="T37" s="45"/>
      <c r="U37" s="45"/>
      <c r="V37" s="45"/>
      <c r="W37" s="4"/>
    </row>
    <row r="38" spans="1:23">
      <c r="A38" s="70"/>
      <c r="B38" s="34" t="str">
        <f>'1.1 Enhetskostnader'!B54</f>
        <v>Kostnader</v>
      </c>
      <c r="C38" s="111"/>
      <c r="D38" s="126"/>
      <c r="E38" s="126"/>
      <c r="F38" s="134"/>
      <c r="G38" s="126"/>
      <c r="H38" s="135"/>
      <c r="I38" s="136"/>
      <c r="J38" s="136"/>
      <c r="K38" s="126"/>
      <c r="L38" s="39"/>
      <c r="M38" s="39"/>
      <c r="N38" s="39"/>
      <c r="O38" s="39"/>
      <c r="P38" s="39"/>
      <c r="Q38" s="39"/>
      <c r="R38" s="39"/>
      <c r="S38" s="39"/>
      <c r="T38" s="39"/>
      <c r="U38" s="39"/>
      <c r="V38" s="39"/>
      <c r="W38" s="35"/>
    </row>
    <row r="39" spans="1:23">
      <c r="B39" s="9" t="str">
        <f>'1.1 Enhetskostnader'!B55</f>
        <v>Livets sluttfase</v>
      </c>
      <c r="C39" s="90">
        <f>F39*G39*H39</f>
        <v>71684.255999999994</v>
      </c>
      <c r="D39" s="127" t="s">
        <v>175</v>
      </c>
      <c r="E39" s="157">
        <v>2024</v>
      </c>
      <c r="F39" s="127">
        <f>'1.1 Enhetskostnader'!D46</f>
        <v>52248</v>
      </c>
      <c r="G39" s="127">
        <f>'1.2 Forutsetninger'!C29</f>
        <v>9.8000000000000004E-2</v>
      </c>
      <c r="H39" s="127">
        <v>14</v>
      </c>
    </row>
    <row r="40" spans="1:23" ht="21">
      <c r="B40" s="82" t="s">
        <v>241</v>
      </c>
      <c r="C40" s="37"/>
      <c r="D40" s="78"/>
      <c r="E40" s="78"/>
      <c r="F40" s="128"/>
      <c r="G40" s="83"/>
      <c r="H40" s="137"/>
      <c r="I40" s="83"/>
      <c r="J40" s="137"/>
      <c r="K40" s="83"/>
      <c r="L40" s="84"/>
      <c r="M40" s="83"/>
      <c r="N40" s="84"/>
      <c r="O40" s="83"/>
      <c r="P40" s="84"/>
      <c r="Q40" s="83"/>
      <c r="R40" s="83"/>
      <c r="S40" s="83"/>
      <c r="T40" s="83"/>
      <c r="U40" s="83"/>
      <c r="V40" s="83"/>
      <c r="W40" s="85"/>
    </row>
    <row r="41" spans="1:23">
      <c r="F41" s="212">
        <v>46166.125529999998</v>
      </c>
      <c r="H41" s="127">
        <v>12.7</v>
      </c>
    </row>
  </sheetData>
  <pageMargins left="0.7" right="0.7" top="0.75" bottom="0.75" header="0.3" footer="0.3"/>
  <pageSetup paperSize="9"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6EFF2"/>
  </sheetPr>
  <dimension ref="A3:AC33"/>
  <sheetViews>
    <sheetView showGridLines="0" tabSelected="1" topLeftCell="A8" zoomScale="85" zoomScaleNormal="85" workbookViewId="0">
      <selection activeCell="W14" sqref="W14"/>
    </sheetView>
  </sheetViews>
  <sheetFormatPr defaultColWidth="11.42578125" defaultRowHeight="14.45"/>
  <cols>
    <col min="1" max="1" width="36.42578125" customWidth="1"/>
    <col min="2" max="2" width="30.28515625" customWidth="1"/>
    <col min="28" max="28" width="17.140625" bestFit="1" customWidth="1"/>
  </cols>
  <sheetData>
    <row r="3" spans="1:29" ht="15" thickBot="1"/>
    <row r="4" spans="1:29" ht="18.600000000000001">
      <c r="A4" s="59" t="s">
        <v>104</v>
      </c>
      <c r="B4" s="60"/>
    </row>
    <row r="5" spans="1:29">
      <c r="A5" s="73" t="s">
        <v>242</v>
      </c>
      <c r="B5" s="86" t="s">
        <v>243</v>
      </c>
    </row>
    <row r="6" spans="1:29" ht="15" thickBot="1">
      <c r="A6" s="74" t="s">
        <v>107</v>
      </c>
      <c r="B6" s="87" t="s">
        <v>108</v>
      </c>
    </row>
    <row r="8" spans="1:29" ht="15" thickBot="1"/>
    <row r="9" spans="1:29" ht="18.600000000000001">
      <c r="B9" s="68" t="s">
        <v>244</v>
      </c>
    </row>
    <row r="10" spans="1:29" ht="15" thickBot="1">
      <c r="A10" s="70"/>
      <c r="B10" s="203">
        <v>2024</v>
      </c>
    </row>
    <row r="13" spans="1:29" ht="15" thickBot="1"/>
    <row r="14" spans="1:29" ht="21">
      <c r="B14" s="61" t="s">
        <v>245</v>
      </c>
      <c r="C14" s="51">
        <v>2005</v>
      </c>
      <c r="D14" s="51">
        <v>2006</v>
      </c>
      <c r="E14" s="51">
        <v>2007</v>
      </c>
      <c r="F14" s="51">
        <v>2008</v>
      </c>
      <c r="G14" s="51">
        <v>2009</v>
      </c>
      <c r="H14" s="51">
        <v>2010</v>
      </c>
      <c r="I14" s="51">
        <v>2011</v>
      </c>
      <c r="J14" s="51">
        <v>2012</v>
      </c>
      <c r="K14" s="51">
        <v>2013</v>
      </c>
      <c r="L14" s="51">
        <v>2014</v>
      </c>
      <c r="M14" s="51">
        <v>2015</v>
      </c>
      <c r="N14" s="51">
        <v>2016</v>
      </c>
      <c r="O14" s="51">
        <v>2017</v>
      </c>
      <c r="P14" s="51">
        <v>2018</v>
      </c>
      <c r="Q14" s="51">
        <v>2019</v>
      </c>
      <c r="R14" s="51">
        <v>2020</v>
      </c>
      <c r="S14" s="51">
        <v>2021</v>
      </c>
      <c r="T14" s="51">
        <v>2022</v>
      </c>
      <c r="U14" s="51">
        <v>2023</v>
      </c>
      <c r="V14" s="51">
        <v>2024</v>
      </c>
      <c r="W14" s="69">
        <v>2025</v>
      </c>
      <c r="Y14" s="59" t="s">
        <v>246</v>
      </c>
      <c r="Z14" s="32"/>
      <c r="AA14" s="32"/>
      <c r="AB14" s="32" t="s">
        <v>192</v>
      </c>
      <c r="AC14" s="62"/>
    </row>
    <row r="15" spans="1:29" ht="21">
      <c r="B15" s="65"/>
      <c r="C15" s="45"/>
      <c r="D15" s="45"/>
      <c r="E15" s="45"/>
      <c r="F15" s="45"/>
      <c r="G15" s="45"/>
      <c r="H15" s="45"/>
      <c r="I15" s="45"/>
      <c r="J15" s="45"/>
      <c r="K15" s="45"/>
      <c r="L15" s="45"/>
      <c r="M15" s="45"/>
      <c r="N15" s="45"/>
      <c r="O15" s="45"/>
      <c r="P15" s="45"/>
      <c r="Q15" s="45"/>
      <c r="R15" s="45"/>
      <c r="S15" s="45"/>
      <c r="T15" s="45"/>
      <c r="U15" s="45"/>
      <c r="V15" s="45"/>
      <c r="W15" s="4"/>
      <c r="Y15" s="63" t="s">
        <v>115</v>
      </c>
      <c r="Z15" s="66" t="s">
        <v>50</v>
      </c>
      <c r="AA15" s="66" t="s">
        <v>247</v>
      </c>
      <c r="AB15" s="66" t="s">
        <v>18</v>
      </c>
      <c r="AC15" s="64" t="s">
        <v>195</v>
      </c>
    </row>
    <row r="16" spans="1:29">
      <c r="B16" s="9" t="str">
        <f>"KPI Indeks ("&amp;SisteStatistikkÅr&amp;"=1)"</f>
        <v>KPI Indeks (2024=1)</v>
      </c>
      <c r="C16" s="71">
        <f t="shared" ref="C16:W16" si="0">IF(StatistikkÅr&lt;=SisteStatistikkÅr,StatistikkKPI/LOOKUP(SisteStatistikkÅr,StatistikkÅr,StatistikkKPI),(1+Fremtidig_KPI)^(StatistikkÅr-SisteStatistikkÅr))</f>
        <v>0.61601796407185627</v>
      </c>
      <c r="D16" s="71">
        <f t="shared" si="0"/>
        <v>0.63023952095808389</v>
      </c>
      <c r="E16" s="71">
        <f t="shared" si="0"/>
        <v>0.6347305389221557</v>
      </c>
      <c r="F16" s="71">
        <f t="shared" si="0"/>
        <v>0.6586826347305389</v>
      </c>
      <c r="G16" s="71">
        <f t="shared" si="0"/>
        <v>0.67290419161676651</v>
      </c>
      <c r="H16" s="71">
        <f t="shared" si="0"/>
        <v>0.68937125748502992</v>
      </c>
      <c r="I16" s="71">
        <f t="shared" si="0"/>
        <v>0.69835329341317365</v>
      </c>
      <c r="J16" s="71">
        <f t="shared" si="0"/>
        <v>0.70284431137724557</v>
      </c>
      <c r="K16" s="71">
        <f t="shared" si="0"/>
        <v>0.71781437125748515</v>
      </c>
      <c r="L16" s="71">
        <f t="shared" si="0"/>
        <v>0.73278443113772462</v>
      </c>
      <c r="M16" s="71">
        <f t="shared" si="0"/>
        <v>0.74850299401197606</v>
      </c>
      <c r="N16" s="71">
        <f t="shared" si="0"/>
        <v>0.77544910179640714</v>
      </c>
      <c r="O16" s="71">
        <f t="shared" si="0"/>
        <v>0.78967065868263475</v>
      </c>
      <c r="P16" s="71">
        <f t="shared" si="0"/>
        <v>0.81137724550898216</v>
      </c>
      <c r="Q16" s="71">
        <f t="shared" si="0"/>
        <v>0.8293413173652695</v>
      </c>
      <c r="R16" s="71">
        <f t="shared" si="0"/>
        <v>0.83982035928143717</v>
      </c>
      <c r="S16" s="71">
        <f t="shared" si="0"/>
        <v>0.86901197604790414</v>
      </c>
      <c r="T16" s="206">
        <f t="shared" si="0"/>
        <v>0.91916167664670656</v>
      </c>
      <c r="U16" s="206">
        <f t="shared" si="0"/>
        <v>0.97005988023952094</v>
      </c>
      <c r="V16" s="71">
        <f t="shared" si="0"/>
        <v>1</v>
      </c>
      <c r="W16" s="209">
        <f t="shared" si="0"/>
        <v>1.02</v>
      </c>
      <c r="Y16" s="9"/>
      <c r="Z16" s="10"/>
      <c r="AA16" s="10"/>
      <c r="AB16" s="10"/>
      <c r="AC16" s="152"/>
    </row>
    <row r="17" spans="1:29">
      <c r="B17" s="9" t="str">
        <f>"BNP Indeks ("&amp;SisteStatistikkÅr&amp;"=1)"</f>
        <v>BNP Indeks (2024=1)</v>
      </c>
      <c r="C17" s="71">
        <f t="shared" ref="C17:V17" si="1">IF(StatistikkÅr&lt;=SisteStatistikkÅr,StatistikkBNP/LOOKUP(SisteStatistikkÅr,StatistikkÅr,StatistikkBNP),(1+Fremtidig_Reallønnsvekst)^(StatistikkÅr-SisteStatistikkÅr))</f>
        <v>0.46317700408435497</v>
      </c>
      <c r="D17" s="71">
        <f t="shared" si="1"/>
        <v>0.51188044388542364</v>
      </c>
      <c r="E17" s="71">
        <f t="shared" si="1"/>
        <v>0.53742026178903113</v>
      </c>
      <c r="F17" s="71">
        <f t="shared" si="1"/>
        <v>0.58967405582130494</v>
      </c>
      <c r="G17" s="71">
        <f t="shared" si="1"/>
        <v>0.54177483398260529</v>
      </c>
      <c r="H17" s="71">
        <f t="shared" si="1"/>
        <v>0.57139471768196504</v>
      </c>
      <c r="I17" s="71">
        <f t="shared" si="1"/>
        <v>0.60832011735148506</v>
      </c>
      <c r="J17" s="71">
        <f t="shared" si="1"/>
        <v>0.63737812076780298</v>
      </c>
      <c r="K17" s="71">
        <f t="shared" si="1"/>
        <v>0.65228939408074138</v>
      </c>
      <c r="L17" s="71">
        <f t="shared" si="1"/>
        <v>0.65992946472324721</v>
      </c>
      <c r="M17" s="71">
        <f t="shared" si="1"/>
        <v>0.64673063952484655</v>
      </c>
      <c r="N17" s="71">
        <f t="shared" si="1"/>
        <v>0.63812014587441546</v>
      </c>
      <c r="O17" s="71">
        <f t="shared" si="1"/>
        <v>0.67526107595785045</v>
      </c>
      <c r="P17" s="71">
        <f t="shared" si="1"/>
        <v>0.72198721186210768</v>
      </c>
      <c r="Q17" s="71">
        <f t="shared" si="1"/>
        <v>0.72121087345576751</v>
      </c>
      <c r="R17" s="71">
        <f t="shared" si="1"/>
        <v>0.68999542131906755</v>
      </c>
      <c r="S17" s="71">
        <f>IF(StatistikkÅr&lt;=SisteStatistikkÅr,StatistikkBNP/LOOKUP(SisteStatistikkÅr,StatistikkÅr,StatistikkBNP),(1+Fremtidig_Reallønnsvekst)^(StatistikkÅr-SisteStatistikkÅr))</f>
        <v>0.85729313101353977</v>
      </c>
      <c r="T17" s="206">
        <f>IF(StatistikkÅr&lt;=SisteStatistikkÅr,StatistikkBNP/LOOKUP(SisteStatistikkÅr,StatistikkÅr,StatistikkBNP),(1+Fremtidig_Reallønnsvekst)^(StatistikkÅr-SisteStatistikkÅr))</f>
        <v>1.1216224185943771</v>
      </c>
      <c r="U17" s="206">
        <f>IF(StatistikkÅr&lt;=SisteStatistikkÅr,StatistikkBNP/LOOKUP(SisteStatistikkÅr,StatistikkÅr,StatistikkBNP),(1+Fremtidig_Reallønnsvekst)^(StatistikkÅr-SisteStatistikkÅr))</f>
        <v>0.99107854207078616</v>
      </c>
      <c r="V17" s="71">
        <f t="shared" si="1"/>
        <v>1</v>
      </c>
      <c r="W17" s="209">
        <f>IF(StatistikkÅr&lt;=SisteStatistikkÅr,StatistikkBNP/LOOKUP(SisteStatistikkÅr,StatistikkÅr,StatistikkBNP),(1+Fremtidig_Reallønnsvekst)^(StatistikkÅr-SisteStatistikkÅr))</f>
        <v>1.0089999999999999</v>
      </c>
      <c r="Y17" s="9"/>
      <c r="Z17" s="10"/>
      <c r="AA17" s="10"/>
      <c r="AB17" s="10"/>
      <c r="AC17" s="152"/>
    </row>
    <row r="18" spans="1:29">
      <c r="B18" s="9"/>
      <c r="C18" s="10"/>
      <c r="D18" s="10"/>
      <c r="E18" s="10"/>
      <c r="F18" s="10"/>
      <c r="G18" s="10"/>
      <c r="H18" s="10"/>
      <c r="I18" s="10"/>
      <c r="J18" s="10"/>
      <c r="K18" s="10"/>
      <c r="L18" s="10"/>
      <c r="M18" s="10"/>
      <c r="N18" s="10"/>
      <c r="O18" s="10"/>
      <c r="P18" s="10"/>
      <c r="Q18" s="10"/>
      <c r="R18" s="10"/>
      <c r="S18" s="10"/>
      <c r="T18" s="10"/>
      <c r="U18" s="10"/>
      <c r="V18" s="10"/>
      <c r="W18" s="11"/>
      <c r="Y18" s="9"/>
      <c r="Z18" s="10"/>
      <c r="AA18" s="10"/>
      <c r="AB18" s="10"/>
      <c r="AC18" s="152"/>
    </row>
    <row r="19" spans="1:29">
      <c r="A19" s="70"/>
      <c r="B19" s="73" t="s">
        <v>248</v>
      </c>
      <c r="C19" s="44">
        <v>82.3</v>
      </c>
      <c r="D19" s="44">
        <v>84.2</v>
      </c>
      <c r="E19" s="44">
        <v>84.8</v>
      </c>
      <c r="F19" s="44">
        <v>88</v>
      </c>
      <c r="G19" s="44">
        <v>89.9</v>
      </c>
      <c r="H19" s="44">
        <v>92.1</v>
      </c>
      <c r="I19" s="44">
        <v>93.3</v>
      </c>
      <c r="J19" s="44">
        <v>93.9</v>
      </c>
      <c r="K19" s="44">
        <v>95.9</v>
      </c>
      <c r="L19" s="44">
        <v>97.9</v>
      </c>
      <c r="M19" s="44">
        <v>100</v>
      </c>
      <c r="N19" s="44">
        <v>103.6</v>
      </c>
      <c r="O19" s="44">
        <v>105.5</v>
      </c>
      <c r="P19" s="44">
        <v>108.4</v>
      </c>
      <c r="Q19" s="188">
        <v>110.8</v>
      </c>
      <c r="R19" s="188">
        <v>112.2</v>
      </c>
      <c r="S19" s="188">
        <v>116.1</v>
      </c>
      <c r="T19" s="207">
        <v>122.8</v>
      </c>
      <c r="U19" s="207">
        <v>129.6</v>
      </c>
      <c r="V19" s="188">
        <v>133.6</v>
      </c>
      <c r="W19" s="210"/>
      <c r="Y19" s="58" t="s">
        <v>98</v>
      </c>
      <c r="Z19" s="10" t="s">
        <v>249</v>
      </c>
      <c r="AA19" s="67" t="s">
        <v>250</v>
      </c>
      <c r="AB19" s="177">
        <v>45832</v>
      </c>
      <c r="AC19" s="185" t="s">
        <v>181</v>
      </c>
    </row>
    <row r="20" spans="1:29">
      <c r="A20" s="70"/>
      <c r="B20" s="73" t="s">
        <v>124</v>
      </c>
      <c r="C20" s="88">
        <v>431951</v>
      </c>
      <c r="D20" s="88">
        <v>477371</v>
      </c>
      <c r="E20" s="88">
        <v>501189</v>
      </c>
      <c r="F20" s="88">
        <v>549920</v>
      </c>
      <c r="G20" s="88">
        <v>505250</v>
      </c>
      <c r="H20" s="88">
        <v>532873</v>
      </c>
      <c r="I20" s="88">
        <v>567309</v>
      </c>
      <c r="J20" s="88">
        <v>594408</v>
      </c>
      <c r="K20" s="88">
        <v>608314</v>
      </c>
      <c r="L20" s="88">
        <v>615439</v>
      </c>
      <c r="M20" s="88">
        <v>603130</v>
      </c>
      <c r="N20" s="88">
        <v>595100</v>
      </c>
      <c r="O20" s="88">
        <v>629737</v>
      </c>
      <c r="P20" s="88">
        <v>673313</v>
      </c>
      <c r="Q20" s="199">
        <v>672589</v>
      </c>
      <c r="R20" s="200">
        <v>643478</v>
      </c>
      <c r="S20" s="200">
        <v>799497</v>
      </c>
      <c r="T20" s="208">
        <v>1046006</v>
      </c>
      <c r="U20" s="208">
        <v>924263</v>
      </c>
      <c r="V20" s="200">
        <v>932583</v>
      </c>
      <c r="W20" s="211"/>
      <c r="Y20" s="58" t="s">
        <v>98</v>
      </c>
      <c r="Z20" s="10" t="s">
        <v>251</v>
      </c>
      <c r="AA20" s="67" t="s">
        <v>252</v>
      </c>
      <c r="AB20" s="177">
        <v>45832</v>
      </c>
      <c r="AC20" s="185" t="s">
        <v>181</v>
      </c>
    </row>
    <row r="21" spans="1:29">
      <c r="B21" s="9"/>
      <c r="C21" s="10"/>
      <c r="D21" s="10"/>
      <c r="E21" s="10"/>
      <c r="F21" s="10"/>
      <c r="G21" s="10"/>
      <c r="H21" s="10"/>
      <c r="I21" s="10"/>
      <c r="J21" s="10"/>
      <c r="K21" s="10"/>
      <c r="L21" s="10"/>
      <c r="M21" s="10"/>
      <c r="N21" s="10"/>
      <c r="O21" s="10"/>
      <c r="P21" s="10"/>
      <c r="Q21" s="10"/>
      <c r="R21" s="10"/>
      <c r="S21" s="10"/>
      <c r="T21" s="10"/>
      <c r="U21" s="10"/>
      <c r="V21" s="10"/>
      <c r="W21" s="11"/>
      <c r="Y21" s="9"/>
      <c r="Z21" s="10"/>
      <c r="AA21" s="10"/>
      <c r="AB21" s="10"/>
      <c r="AC21" s="152"/>
    </row>
    <row r="22" spans="1:29">
      <c r="B22" s="9"/>
      <c r="C22" s="10"/>
      <c r="D22" s="10"/>
      <c r="E22" s="10"/>
      <c r="F22" s="10"/>
      <c r="G22" s="10"/>
      <c r="H22" s="10"/>
      <c r="I22" s="10"/>
      <c r="J22" s="10"/>
      <c r="K22" s="10"/>
      <c r="L22" s="10"/>
      <c r="M22" s="10"/>
      <c r="N22" s="10"/>
      <c r="O22" s="10"/>
      <c r="P22" s="10"/>
      <c r="Q22" s="10"/>
      <c r="R22" s="10"/>
      <c r="S22" s="10"/>
      <c r="T22" s="10"/>
      <c r="U22" s="10"/>
      <c r="V22" s="10"/>
      <c r="W22" s="11"/>
      <c r="Y22" s="9"/>
      <c r="Z22" s="10"/>
      <c r="AA22" s="10"/>
      <c r="AB22" s="10"/>
      <c r="AC22" s="152"/>
    </row>
    <row r="23" spans="1:29">
      <c r="B23" s="9"/>
      <c r="C23" s="10"/>
      <c r="D23" s="10"/>
      <c r="E23" s="10"/>
      <c r="F23" s="10"/>
      <c r="G23" s="10"/>
      <c r="H23" s="10"/>
      <c r="I23" s="10"/>
      <c r="J23" s="10"/>
      <c r="K23" s="10"/>
      <c r="L23" s="10"/>
      <c r="M23" s="10"/>
      <c r="N23" s="10"/>
      <c r="O23" s="10"/>
      <c r="P23" s="10"/>
      <c r="Q23" s="10"/>
      <c r="R23" s="10"/>
      <c r="S23" s="10"/>
      <c r="T23" s="10"/>
      <c r="U23" s="10"/>
      <c r="V23" s="10"/>
      <c r="W23" s="11"/>
      <c r="Y23" s="9"/>
      <c r="Z23" s="10"/>
      <c r="AA23" s="10"/>
      <c r="AB23" s="10"/>
      <c r="AC23" s="152"/>
    </row>
    <row r="24" spans="1:29">
      <c r="B24" s="9"/>
      <c r="C24" s="10"/>
      <c r="D24" s="10"/>
      <c r="E24" s="10"/>
      <c r="F24" s="10"/>
      <c r="G24" s="10"/>
      <c r="H24" s="10"/>
      <c r="I24" s="10"/>
      <c r="J24" s="10"/>
      <c r="K24" s="10"/>
      <c r="L24" s="10"/>
      <c r="M24" s="10"/>
      <c r="N24" s="10"/>
      <c r="O24" s="10"/>
      <c r="P24" s="10"/>
      <c r="Q24" s="10"/>
      <c r="R24" s="10"/>
      <c r="S24" s="10"/>
      <c r="T24" s="10"/>
      <c r="U24" s="10"/>
      <c r="V24" s="10"/>
      <c r="W24" s="11"/>
      <c r="Y24" s="9"/>
      <c r="Z24" s="10"/>
      <c r="AA24" s="10"/>
      <c r="AB24" s="10"/>
      <c r="AC24" s="152"/>
    </row>
    <row r="25" spans="1:29">
      <c r="B25" s="9"/>
      <c r="C25" s="10"/>
      <c r="D25" s="10"/>
      <c r="E25" s="10"/>
      <c r="F25" s="10"/>
      <c r="G25" s="10"/>
      <c r="H25" s="10"/>
      <c r="I25" s="10"/>
      <c r="J25" s="10"/>
      <c r="K25" s="10"/>
      <c r="L25" s="10"/>
      <c r="M25" s="10"/>
      <c r="N25" s="10"/>
      <c r="O25" s="10"/>
      <c r="P25" s="10"/>
      <c r="Q25" s="10"/>
      <c r="R25" s="10"/>
      <c r="S25" s="10"/>
      <c r="T25" s="10"/>
      <c r="U25" s="10"/>
      <c r="V25" s="10"/>
      <c r="W25" s="11"/>
      <c r="Y25" s="9"/>
      <c r="Z25" s="10"/>
      <c r="AA25" s="10"/>
      <c r="AB25" s="10"/>
      <c r="AC25" s="152"/>
    </row>
    <row r="26" spans="1:29">
      <c r="B26" s="9"/>
      <c r="C26" s="10"/>
      <c r="D26" s="10"/>
      <c r="E26" s="10"/>
      <c r="F26" s="10"/>
      <c r="G26" s="10"/>
      <c r="H26" s="10"/>
      <c r="I26" s="10"/>
      <c r="J26" s="10"/>
      <c r="K26" s="10"/>
      <c r="L26" s="10"/>
      <c r="M26" s="10"/>
      <c r="N26" s="10"/>
      <c r="O26" s="10"/>
      <c r="P26" s="10"/>
      <c r="Q26" s="10"/>
      <c r="R26" s="10"/>
      <c r="S26" s="10"/>
      <c r="T26" s="10"/>
      <c r="U26" s="10"/>
      <c r="V26" s="10"/>
      <c r="W26" s="11"/>
      <c r="Y26" s="9"/>
      <c r="Z26" s="10"/>
      <c r="AA26" s="10"/>
      <c r="AB26" s="10"/>
      <c r="AC26" s="152"/>
    </row>
    <row r="27" spans="1:29">
      <c r="B27" s="9"/>
      <c r="C27" s="10"/>
      <c r="D27" s="10"/>
      <c r="E27" s="10"/>
      <c r="F27" s="10"/>
      <c r="G27" s="10"/>
      <c r="H27" s="10"/>
      <c r="I27" s="10"/>
      <c r="J27" s="10"/>
      <c r="K27" s="10"/>
      <c r="L27" s="10"/>
      <c r="M27" s="10"/>
      <c r="N27" s="10"/>
      <c r="O27" s="10"/>
      <c r="P27" s="10"/>
      <c r="Q27" s="10"/>
      <c r="R27" s="10"/>
      <c r="S27" s="10"/>
      <c r="T27" s="10"/>
      <c r="U27" s="10"/>
      <c r="V27" s="10"/>
      <c r="W27" s="11"/>
      <c r="Y27" s="9"/>
      <c r="Z27" s="10"/>
      <c r="AA27" s="10"/>
      <c r="AB27" s="10"/>
      <c r="AC27" s="152"/>
    </row>
    <row r="28" spans="1:29">
      <c r="B28" s="9"/>
      <c r="C28" s="10"/>
      <c r="D28" s="10"/>
      <c r="E28" s="10"/>
      <c r="F28" s="10"/>
      <c r="G28" s="10"/>
      <c r="H28" s="10"/>
      <c r="I28" s="10"/>
      <c r="J28" s="10"/>
      <c r="K28" s="10"/>
      <c r="L28" s="10"/>
      <c r="M28" s="10"/>
      <c r="N28" s="10"/>
      <c r="O28" s="10"/>
      <c r="P28" s="10"/>
      <c r="Q28" s="10"/>
      <c r="R28" s="10"/>
      <c r="S28" s="10"/>
      <c r="T28" s="10"/>
      <c r="U28" s="10"/>
      <c r="V28" s="10"/>
      <c r="W28" s="11"/>
      <c r="Y28" s="9"/>
      <c r="Z28" s="10"/>
      <c r="AA28" s="10"/>
      <c r="AB28" s="10"/>
      <c r="AC28" s="152"/>
    </row>
    <row r="29" spans="1:29">
      <c r="B29" s="9"/>
      <c r="C29" s="10"/>
      <c r="D29" s="10"/>
      <c r="E29" s="10"/>
      <c r="F29" s="10"/>
      <c r="G29" s="10"/>
      <c r="H29" s="10"/>
      <c r="I29" s="10"/>
      <c r="J29" s="10"/>
      <c r="K29" s="10"/>
      <c r="L29" s="10"/>
      <c r="M29" s="10"/>
      <c r="N29" s="10"/>
      <c r="O29" s="10"/>
      <c r="P29" s="10"/>
      <c r="Q29" s="10"/>
      <c r="R29" s="10"/>
      <c r="S29" s="10"/>
      <c r="T29" s="10"/>
      <c r="U29" s="10"/>
      <c r="V29" s="10"/>
      <c r="W29" s="11"/>
      <c r="Y29" s="9"/>
      <c r="Z29" s="10"/>
      <c r="AA29" s="10"/>
      <c r="AB29" s="10"/>
      <c r="AC29" s="152"/>
    </row>
    <row r="30" spans="1:29">
      <c r="B30" s="9"/>
      <c r="C30" s="10"/>
      <c r="D30" s="10"/>
      <c r="E30" s="10"/>
      <c r="F30" s="10"/>
      <c r="G30" s="10"/>
      <c r="H30" s="10"/>
      <c r="I30" s="10"/>
      <c r="J30" s="10"/>
      <c r="K30" s="10"/>
      <c r="L30" s="10"/>
      <c r="M30" s="10"/>
      <c r="N30" s="10"/>
      <c r="O30" s="10"/>
      <c r="P30" s="10"/>
      <c r="Q30" s="10"/>
      <c r="R30" s="10"/>
      <c r="S30" s="10"/>
      <c r="T30" s="10"/>
      <c r="U30" s="10"/>
      <c r="V30" s="10"/>
      <c r="W30" s="11"/>
      <c r="Y30" s="9"/>
      <c r="Z30" s="10"/>
      <c r="AA30" s="10"/>
      <c r="AB30" s="10"/>
      <c r="AC30" s="152"/>
    </row>
    <row r="31" spans="1:29">
      <c r="B31" s="9"/>
      <c r="C31" s="10"/>
      <c r="D31" s="10"/>
      <c r="E31" s="10"/>
      <c r="F31" s="10"/>
      <c r="G31" s="10"/>
      <c r="H31" s="10"/>
      <c r="I31" s="10"/>
      <c r="J31" s="10"/>
      <c r="K31" s="10"/>
      <c r="L31" s="10"/>
      <c r="M31" s="10"/>
      <c r="N31" s="10"/>
      <c r="O31" s="10"/>
      <c r="P31" s="10"/>
      <c r="Q31" s="10"/>
      <c r="R31" s="10"/>
      <c r="S31" s="10"/>
      <c r="T31" s="10"/>
      <c r="U31" s="10"/>
      <c r="V31" s="10"/>
      <c r="W31" s="11"/>
      <c r="Y31" s="9"/>
      <c r="Z31" s="10"/>
      <c r="AA31" s="10"/>
      <c r="AB31" s="10"/>
      <c r="AC31" s="152"/>
    </row>
    <row r="32" spans="1:29">
      <c r="B32" s="9"/>
      <c r="C32" s="10"/>
      <c r="D32" s="10"/>
      <c r="E32" s="10"/>
      <c r="F32" s="10"/>
      <c r="G32" s="10"/>
      <c r="H32" s="10"/>
      <c r="I32" s="10"/>
      <c r="J32" s="10"/>
      <c r="K32" s="10"/>
      <c r="L32" s="10"/>
      <c r="M32" s="10"/>
      <c r="N32" s="10"/>
      <c r="O32" s="10"/>
      <c r="P32" s="10"/>
      <c r="Q32" s="10"/>
      <c r="R32" s="10"/>
      <c r="S32" s="10"/>
      <c r="T32" s="10"/>
      <c r="U32" s="10"/>
      <c r="V32" s="10"/>
      <c r="W32" s="11"/>
      <c r="Y32" s="9"/>
      <c r="Z32" s="10"/>
      <c r="AA32" s="10"/>
      <c r="AB32" s="10"/>
      <c r="AC32" s="152"/>
    </row>
    <row r="33" spans="2:29" ht="15" thickBot="1">
      <c r="B33" s="40"/>
      <c r="C33" s="41"/>
      <c r="D33" s="41"/>
      <c r="E33" s="41"/>
      <c r="F33" s="41"/>
      <c r="G33" s="41"/>
      <c r="H33" s="41"/>
      <c r="I33" s="41"/>
      <c r="J33" s="41"/>
      <c r="K33" s="41"/>
      <c r="L33" s="41"/>
      <c r="M33" s="41"/>
      <c r="N33" s="41"/>
      <c r="O33" s="41"/>
      <c r="P33" s="41"/>
      <c r="Q33" s="41"/>
      <c r="R33" s="41"/>
      <c r="S33" s="41"/>
      <c r="T33" s="41"/>
      <c r="U33" s="41"/>
      <c r="V33" s="41"/>
      <c r="W33" s="42"/>
      <c r="Y33" s="40"/>
      <c r="Z33" s="41"/>
      <c r="AA33" s="41"/>
      <c r="AB33" s="41"/>
      <c r="AC33" s="156"/>
    </row>
  </sheetData>
  <hyperlinks>
    <hyperlink ref="Y19" location="SSB_2024" display="SSB (2024)" xr:uid="{00000000-0004-0000-0600-000000000000}"/>
    <hyperlink ref="Y20" location="SSB_2023" display="SSB (2023)" xr:uid="{00000000-0004-0000-0600-000001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1B0052AC2297D438B5698F637075093" ma:contentTypeVersion="20" ma:contentTypeDescription="Opprett et nytt dokument." ma:contentTypeScope="" ma:versionID="3dae2af927e28f3a73c8fdba3cc8dbed">
  <xsd:schema xmlns:xsd="http://www.w3.org/2001/XMLSchema" xmlns:xs="http://www.w3.org/2001/XMLSchema" xmlns:p="http://schemas.microsoft.com/office/2006/metadata/properties" xmlns:ns2="f0c7c08c-85ec-40d6-afa6-856cc81bb858" xmlns:ns3="8ac7dfe4-7f90-4366-85fa-1b45f17c33d1" targetNamespace="http://schemas.microsoft.com/office/2006/metadata/properties" ma:root="true" ma:fieldsID="c80963dabf3c80d20bf55a8fce9cf60d" ns2:_="" ns3:_="">
    <xsd:import namespace="f0c7c08c-85ec-40d6-afa6-856cc81bb858"/>
    <xsd:import namespace="8ac7dfe4-7f90-4366-85fa-1b45f17c33d1"/>
    <xsd:element name="properties">
      <xsd:complexType>
        <xsd:sequence>
          <xsd:element name="documentManagement">
            <xsd:complexType>
              <xsd:all>
                <xsd:element ref="ns2:SLVArkivKonfidensialitet" minOccurs="0"/>
                <xsd:element ref="ns2:SLVArkivLagring" minOccurs="0"/>
                <xsd:element ref="ns2:SlvArkivStatu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2:SharedWithUsers" minOccurs="0"/>
                <xsd:element ref="ns2:SharedWithDetails"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7c08c-85ec-40d6-afa6-856cc81bb858" elementFormDefault="qualified">
    <xsd:import namespace="http://schemas.microsoft.com/office/2006/documentManagement/types"/>
    <xsd:import namespace="http://schemas.microsoft.com/office/infopath/2007/PartnerControls"/>
    <xsd:element name="SLVArkivKonfidensialitet" ma:index="8" nillable="true" ma:displayName="Konfidensialitet" ma:default="Intern" ma:internalName="SLVArkivKonfidensialitet">
      <xsd:simpleType>
        <xsd:restriction base="dms:Choice">
          <xsd:enumeration value="Offentlig"/>
          <xsd:enumeration value="Intern"/>
          <xsd:enumeration value="Fortrolig"/>
        </xsd:restriction>
      </xsd:simpleType>
    </xsd:element>
    <xsd:element name="SLVArkivLagring" ma:index="9" nillable="true" ma:displayName="Varighet på team" ma:default="Fast" ma:internalName="SLVArkivLagring">
      <xsd:simpleType>
        <xsd:restriction base="dms:Text"/>
      </xsd:simpleType>
    </xsd:element>
    <xsd:element name="SlvArkivStatus" ma:index="10" nillable="true" ma:displayName="Arkivstatus" ma:default="" ma:internalName="SlvArkivStatus">
      <xsd:simpleType>
        <xsd:restriction base="dms:Choice">
          <xsd:enumeration value="Klar for arkivering"/>
          <xsd:enumeration value="Arkivert"/>
        </xsd:restriction>
      </xsd:simpleType>
    </xsd:element>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element name="TaxCatchAll" ma:index="24" nillable="true" ma:displayName="Taxonomy Catch All Column" ma:hidden="true" ma:list="{ca700cf3-c182-4a19-911f-135fdcdfa921}" ma:internalName="TaxCatchAll" ma:showField="CatchAllData" ma:web="f0c7c08c-85ec-40d6-afa6-856cc81bb8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c7dfe4-7f90-4366-85fa-1b45f17c33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emerkelapper" ma:readOnly="false" ma:fieldId="{5cf76f15-5ced-4ddc-b409-7134ff3c332f}" ma:taxonomyMulti="true" ma:sspId="5a128127-ad65-419f-a2b4-8f132ea9a5d7"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LVArkivKonfidensialitet xmlns="f0c7c08c-85ec-40d6-afa6-856cc81bb858">Intern</SLVArkivKonfidensialitet>
    <SlvArkivStatus xmlns="f0c7c08c-85ec-40d6-afa6-856cc81bb858" xsi:nil="true"/>
    <SLVArkivLagring xmlns="f0c7c08c-85ec-40d6-afa6-856cc81bb858">Fast</SLVArkivLagring>
    <SharedWithUsers xmlns="f0c7c08c-85ec-40d6-afa6-856cc81bb858">
      <UserInfo>
        <DisplayName>Kristian Samdal</DisplayName>
        <AccountId>41</AccountId>
        <AccountType/>
      </UserInfo>
      <UserInfo>
        <DisplayName>Hege Bue</DisplayName>
        <AccountId>22</AccountId>
        <AccountType/>
      </UserInfo>
    </SharedWithUsers>
    <lcf76f155ced4ddcb4097134ff3c332f xmlns="8ac7dfe4-7f90-4366-85fa-1b45f17c33d1">
      <Terms xmlns="http://schemas.microsoft.com/office/infopath/2007/PartnerControls"/>
    </lcf76f155ced4ddcb4097134ff3c332f>
    <TaxCatchAll xmlns="f0c7c08c-85ec-40d6-afa6-856cc81bb85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1E5806-DA78-4676-B08D-0E77BE107029}"/>
</file>

<file path=customXml/itemProps2.xml><?xml version="1.0" encoding="utf-8"?>
<ds:datastoreItem xmlns:ds="http://schemas.openxmlformats.org/officeDocument/2006/customXml" ds:itemID="{E63DA7A1-C6E6-4BA9-A977-2D470641848B}"/>
</file>

<file path=customXml/itemProps3.xml><?xml version="1.0" encoding="utf-8"?>
<ds:datastoreItem xmlns:ds="http://schemas.openxmlformats.org/officeDocument/2006/customXml" ds:itemID="{F1DEF4D8-CB7D-45A5-8893-06909EFE9A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Malene Nerland</dc:creator>
  <cp:keywords/>
  <dc:description/>
  <cp:lastModifiedBy>Per Anders Svor</cp:lastModifiedBy>
  <cp:revision/>
  <dcterms:created xsi:type="dcterms:W3CDTF">2020-03-12T13:42:11Z</dcterms:created>
  <dcterms:modified xsi:type="dcterms:W3CDTF">2025-06-25T13:06:55Z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0x01010051B0052AC2297D438B5698F637075093</vt:lpwstr>
  </property>
  <property fmtid="{D5CDD505-2E9C-101B-9397-08002B2CF9AE}" pid="3" name="TaxKeyword">
    <vt:lpwstr/>
  </property>
  <property fmtid="{D5CDD505-2E9C-101B-9397-08002B2CF9AE}" pid="4" name="SharedWithUsers">
    <vt:lpwstr>41;#Kristian Samdal;#22;#Hege Bue</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MediaServiceImageTags">
    <vt:lpwstr/>
  </property>
</Properties>
</file>